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hcui1\Desktop\"/>
    </mc:Choice>
  </mc:AlternateContent>
  <xr:revisionPtr revIDLastSave="0" documentId="13_ncr:1_{1B5C098D-4ADC-4337-BD32-D45290EA2E57}" xr6:coauthVersionLast="36" xr6:coauthVersionMax="47" xr10:uidLastSave="{00000000-0000-0000-0000-000000000000}"/>
  <bookViews>
    <workbookView xWindow="0" yWindow="0" windowWidth="25770" windowHeight="17595" firstSheet="1" activeTab="2" xr2:uid="{00000000-000D-0000-FFFF-FFFF00000000}"/>
  </bookViews>
  <sheets>
    <sheet name="__FDSCACHE__" sheetId="3" state="veryHidden" r:id="rId1"/>
    <sheet name="Raw Input" sheetId="4" r:id="rId2"/>
    <sheet name="MOD" sheetId="5" r:id="rId3"/>
    <sheet name="DCF" sheetId="6" r:id="rId4"/>
    <sheet name="SUM" sheetId="8" r:id="rId5"/>
    <sheet name="ABNB Comps &amp; market share" sheetId="2" r:id="rId6"/>
    <sheet name="Regional breakdown" sheetId="1" r:id="rId7"/>
  </sheets>
  <definedNames>
    <definedName name="_bdm.1374bf2687714150a6b31bc1ca0a0b61.edm" localSheetId="5" hidden="1">'ABNB Comps &amp; market share'!$1:$1048576</definedName>
    <definedName name="_bdm.1374bf2687714150a6b31bc1ca0a0b61.edm" hidden="1">#REF!</definedName>
    <definedName name="_bdm.2ce96c87f19a450da146a0c4aa3f4f37.edm" localSheetId="5" hidden="1">#REF!</definedName>
    <definedName name="_bdm.2ce96c87f19a450da146a0c4aa3f4f37.edm" localSheetId="2" hidden="1">#REF!</definedName>
    <definedName name="_bdm.2ce96c87f19a450da146a0c4aa3f4f37.edm" localSheetId="1" hidden="1">#REF!</definedName>
    <definedName name="_bdm.2ce96c87f19a450da146a0c4aa3f4f37.edm" hidden="1">#REF!</definedName>
    <definedName name="_bdm.fcdcb85f66d84a7aac098aaed3657232.edm" localSheetId="5" hidden="1">#REF!</definedName>
    <definedName name="_bdm.fcdcb85f66d84a7aac098aaed3657232.edm" localSheetId="2" hidden="1">#REF!</definedName>
    <definedName name="_bdm.fcdcb85f66d84a7aac098aaed3657232.edm" localSheetId="1" hidden="1">#REF!</definedName>
    <definedName name="_bdm.fcdcb85f66d84a7aac098aaed3657232.edm" hidden="1">#REF!</definedName>
    <definedName name="_xlnm._FilterDatabase" localSheetId="5" hidden="1">'ABNB Comps &amp; market share'!$A$38:$AC$85</definedName>
    <definedName name="_xlnm.Database" localSheetId="5">#REF!</definedName>
    <definedName name="_xlnm.Database" localSheetId="2">#REF!</definedName>
    <definedName name="_xlnm.Database" localSheetId="1">#REF!</definedName>
    <definedName name="_xlnm.Database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45190.6061111111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s">#REF!</definedName>
    <definedName name="tgr" localSheetId="3">DCF!$E$16</definedName>
    <definedName name="tgr">#REF!</definedName>
    <definedName name="wacc" localSheetId="3">DCF!$E$15</definedName>
    <definedName name="wacc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6" l="1"/>
  <c r="E16" i="6"/>
  <c r="AH46" i="5"/>
  <c r="AG46" i="5"/>
  <c r="AE68" i="5"/>
  <c r="AE69" i="5"/>
  <c r="AD55" i="5"/>
  <c r="AE52" i="5"/>
  <c r="AE53" i="5"/>
  <c r="AD53" i="5"/>
  <c r="AD52" i="5"/>
  <c r="AE48" i="5"/>
  <c r="AE47" i="5"/>
  <c r="AE45" i="5"/>
  <c r="AE36" i="5"/>
  <c r="AE44" i="5"/>
  <c r="AE38" i="5"/>
  <c r="AE39" i="5"/>
  <c r="AE35" i="5"/>
  <c r="AE33" i="5"/>
  <c r="AE32" i="5"/>
  <c r="AE30" i="5"/>
  <c r="AE29" i="5"/>
  <c r="AE25" i="5"/>
  <c r="AE24" i="5"/>
  <c r="AE22" i="5"/>
  <c r="AE21" i="5"/>
  <c r="AE15" i="5"/>
  <c r="AE13" i="5"/>
  <c r="AE11" i="5"/>
  <c r="AE9" i="5"/>
  <c r="AE7" i="5"/>
  <c r="AE14" i="5"/>
  <c r="AD9" i="5"/>
  <c r="AC66" i="5" l="1"/>
  <c r="AC67" i="5"/>
  <c r="AC46" i="5"/>
  <c r="AB37" i="5"/>
  <c r="AB43" i="5" s="1"/>
  <c r="AB46" i="5" s="1"/>
  <c r="Q72" i="6"/>
  <c r="I36" i="6" l="1"/>
  <c r="AC143" i="5"/>
  <c r="J36" i="6"/>
  <c r="AF53" i="5"/>
  <c r="AD60" i="5"/>
  <c r="AD62" i="5" s="1"/>
  <c r="AE59" i="5"/>
  <c r="AF59" i="5" s="1"/>
  <c r="AG59" i="5" s="1"/>
  <c r="AG56" i="5"/>
  <c r="AF56" i="5"/>
  <c r="AE56" i="5"/>
  <c r="AC22" i="2" a="1"/>
  <c r="AG53" i="5" l="1"/>
  <c r="AC22" i="2"/>
  <c r="AB22" i="2" a="1"/>
  <c r="AB22" i="2" l="1"/>
  <c r="AA22" i="2" a="1"/>
  <c r="AA22" i="2" l="1"/>
  <c r="Z22" i="2" a="1"/>
  <c r="Z22" i="2" l="1"/>
  <c r="Y22" i="2" a="1"/>
  <c r="Y22" i="2" l="1"/>
  <c r="X22" i="2" a="1"/>
  <c r="X22" i="2" l="1"/>
  <c r="AC21" i="2" a="1"/>
  <c r="AC21" i="2" l="1"/>
  <c r="AB21" i="2" a="1"/>
  <c r="AB21" i="2" l="1"/>
  <c r="AA21" i="2" a="1"/>
  <c r="AA21" i="2" l="1"/>
  <c r="Z21" i="2" a="1"/>
  <c r="Z21" i="2" l="1"/>
  <c r="Y21" i="2" a="1"/>
  <c r="Y21" i="2" l="1"/>
  <c r="X21" i="2" a="1"/>
  <c r="X21" i="2" l="1"/>
  <c r="AC20" i="2" a="1"/>
  <c r="AC20" i="2" l="1"/>
  <c r="AB20" i="2" a="1"/>
  <c r="AB20" i="2" l="1"/>
  <c r="AA20" i="2" a="1"/>
  <c r="AA20" i="2" l="1"/>
  <c r="Z20" i="2" a="1"/>
  <c r="Z20" i="2" l="1"/>
  <c r="Y20" i="2" a="1"/>
  <c r="Y20" i="2" l="1"/>
  <c r="X20" i="2" a="1"/>
  <c r="X20" i="2" l="1"/>
  <c r="AC19" i="2" a="1"/>
  <c r="AC19" i="2" l="1"/>
  <c r="AB19" i="2" a="1"/>
  <c r="AB19" i="2" l="1"/>
  <c r="AA19" i="2" a="1"/>
  <c r="AA19" i="2" l="1"/>
  <c r="Z19" i="2" a="1"/>
  <c r="Z19" i="2" l="1"/>
  <c r="Y19" i="2" a="1"/>
  <c r="Y19" i="2" l="1"/>
  <c r="X19" i="2" a="1"/>
  <c r="X19" i="2" l="1"/>
  <c r="AC15" i="2" a="1"/>
  <c r="AC15" i="2" l="1"/>
  <c r="AB15" i="2" a="1"/>
  <c r="AB15" i="2" l="1"/>
  <c r="AA15" i="2" a="1"/>
  <c r="AA15" i="2" l="1"/>
  <c r="Z15" i="2" a="1"/>
  <c r="Z15" i="2" l="1"/>
  <c r="Y15" i="2" a="1"/>
  <c r="Y15" i="2" l="1"/>
  <c r="X15" i="2" a="1"/>
  <c r="X15" i="2" l="1"/>
  <c r="AC13" i="2" a="1"/>
  <c r="AC13" i="2" l="1"/>
  <c r="AB13" i="2" a="1"/>
  <c r="AB13" i="2" l="1"/>
  <c r="AA13" i="2" a="1"/>
  <c r="AA13" i="2" l="1"/>
  <c r="Z13" i="2" a="1"/>
  <c r="Z13" i="2" l="1"/>
  <c r="Y13" i="2" a="1"/>
  <c r="Y13" i="2" l="1"/>
  <c r="X13" i="2" a="1"/>
  <c r="X13" i="2" l="1"/>
  <c r="AC11" i="2" a="1"/>
  <c r="AC11" i="2" l="1"/>
  <c r="AB11" i="2" a="1"/>
  <c r="AB11" i="2" l="1"/>
  <c r="AA11" i="2" a="1"/>
  <c r="AA11" i="2" l="1"/>
  <c r="Z11" i="2" a="1"/>
  <c r="Z11" i="2" l="1"/>
  <c r="Y11" i="2" a="1"/>
  <c r="Y11" i="2" l="1"/>
  <c r="X11" i="2" a="1"/>
  <c r="X11" i="2" l="1"/>
  <c r="R29" i="2" a="1"/>
  <c r="R29" i="2" l="1"/>
  <c r="Q29" i="2" a="1"/>
  <c r="Q29" i="2" l="1"/>
  <c r="P29" i="2" a="1"/>
  <c r="P29" i="2" l="1"/>
  <c r="Q49" i="2" a="1"/>
  <c r="Q49" i="2" l="1"/>
  <c r="P49" i="2" a="1"/>
  <c r="P49" i="2" l="1"/>
  <c r="O49" i="2" a="1"/>
  <c r="O49" i="2" l="1"/>
  <c r="N49" i="2" a="1"/>
  <c r="N49" i="2" l="1"/>
  <c r="M49" i="2" a="1"/>
  <c r="M49" i="2" l="1"/>
  <c r="L49" i="2" a="1"/>
  <c r="L49" i="2" l="1"/>
  <c r="K49" i="2" a="1"/>
  <c r="K49" i="2" l="1"/>
  <c r="Q48" i="2" a="1"/>
  <c r="Q48" i="2" l="1"/>
  <c r="P48" i="2" a="1"/>
  <c r="P48" i="2" l="1"/>
  <c r="O48" i="2" a="1"/>
  <c r="O48" i="2" l="1"/>
  <c r="N48" i="2" a="1"/>
  <c r="N48" i="2" l="1"/>
  <c r="M48" i="2" a="1"/>
  <c r="M48" i="2" l="1"/>
  <c r="L48" i="2" a="1"/>
  <c r="L48" i="2" l="1"/>
  <c r="K48" i="2" a="1"/>
  <c r="K48" i="2" l="1"/>
  <c r="Q47" i="2" a="1"/>
  <c r="Q47" i="2" l="1"/>
  <c r="P47" i="2" a="1"/>
  <c r="P47" i="2" l="1"/>
  <c r="O47" i="2" a="1"/>
  <c r="O47" i="2" l="1"/>
  <c r="N47" i="2" a="1"/>
  <c r="N47" i="2" l="1"/>
  <c r="M47" i="2" a="1"/>
  <c r="M47" i="2" l="1"/>
  <c r="L47" i="2" a="1"/>
  <c r="L47" i="2" l="1"/>
  <c r="K47" i="2" a="1"/>
  <c r="K47" i="2" l="1"/>
  <c r="Q46" i="2" a="1"/>
  <c r="Q46" i="2" l="1"/>
  <c r="P46" i="2" a="1"/>
  <c r="P46" i="2" l="1"/>
  <c r="O46" i="2" a="1"/>
  <c r="O46" i="2" l="1"/>
  <c r="N46" i="2" a="1"/>
  <c r="N46" i="2" l="1"/>
  <c r="M46" i="2" a="1"/>
  <c r="M46" i="2" l="1"/>
  <c r="L46" i="2" a="1"/>
  <c r="L46" i="2" l="1"/>
  <c r="K46" i="2" a="1"/>
  <c r="K46" i="2" l="1"/>
  <c r="Q45" i="2" a="1"/>
  <c r="Q45" i="2" l="1"/>
  <c r="P45" i="2" a="1"/>
  <c r="P45" i="2" l="1"/>
  <c r="O45" i="2" a="1"/>
  <c r="O45" i="2" l="1"/>
  <c r="N45" i="2" a="1"/>
  <c r="N45" i="2" l="1"/>
  <c r="M45" i="2" a="1"/>
  <c r="M45" i="2" l="1"/>
  <c r="L45" i="2" a="1"/>
  <c r="L45" i="2" l="1"/>
  <c r="K45" i="2" a="1"/>
  <c r="K45" i="2" l="1"/>
  <c r="Q44" i="2" a="1"/>
  <c r="Q44" i="2" l="1"/>
  <c r="P44" i="2" a="1"/>
  <c r="P44" i="2" l="1"/>
  <c r="O44" i="2" a="1"/>
  <c r="O44" i="2" l="1"/>
  <c r="N44" i="2" a="1"/>
  <c r="N44" i="2" l="1"/>
  <c r="M44" i="2" a="1"/>
  <c r="M44" i="2" l="1"/>
  <c r="L44" i="2" a="1"/>
  <c r="L44" i="2" l="1"/>
  <c r="K44" i="2" a="1"/>
  <c r="K44" i="2" l="1"/>
  <c r="Q43" i="2" a="1"/>
  <c r="Q43" i="2" l="1"/>
  <c r="P43" i="2" a="1"/>
  <c r="P43" i="2" l="1"/>
  <c r="O43" i="2" a="1"/>
  <c r="O43" i="2" l="1"/>
  <c r="N43" i="2" a="1"/>
  <c r="N43" i="2" l="1"/>
  <c r="M43" i="2" a="1"/>
  <c r="M43" i="2" l="1"/>
  <c r="L43" i="2" a="1"/>
  <c r="L43" i="2" l="1"/>
  <c r="K43" i="2" a="1"/>
  <c r="K43" i="2" l="1"/>
  <c r="Q42" i="2" a="1"/>
  <c r="Q42" i="2" l="1"/>
  <c r="P42" i="2" a="1"/>
  <c r="P42" i="2" l="1"/>
  <c r="O42" i="2" a="1"/>
  <c r="O42" i="2" l="1"/>
  <c r="N42" i="2" a="1"/>
  <c r="N42" i="2" l="1"/>
  <c r="M42" i="2" a="1"/>
  <c r="M42" i="2" l="1"/>
  <c r="L42" i="2" a="1"/>
  <c r="L42" i="2" l="1"/>
  <c r="K42" i="2" a="1"/>
  <c r="K42" i="2" l="1"/>
  <c r="Q41" i="2" a="1"/>
  <c r="Q41" i="2" l="1"/>
  <c r="P41" i="2" a="1"/>
  <c r="P41" i="2" l="1"/>
  <c r="O41" i="2" a="1"/>
  <c r="O41" i="2" l="1"/>
  <c r="N41" i="2" a="1"/>
  <c r="N41" i="2" l="1"/>
  <c r="M41" i="2" a="1"/>
  <c r="M41" i="2" l="1"/>
  <c r="L41" i="2" a="1"/>
  <c r="L41" i="2" l="1"/>
  <c r="K41" i="2" a="1"/>
  <c r="K41" i="2" l="1"/>
  <c r="Q40" i="2" a="1"/>
  <c r="Q40" i="2" l="1"/>
  <c r="P40" i="2" a="1"/>
  <c r="P40" i="2" l="1"/>
  <c r="O40" i="2" a="1"/>
  <c r="O40" i="2" l="1"/>
  <c r="N40" i="2" a="1"/>
  <c r="N40" i="2" l="1"/>
  <c r="M40" i="2" a="1"/>
  <c r="M40" i="2" l="1"/>
  <c r="L40" i="2" a="1"/>
  <c r="L40" i="2" l="1"/>
  <c r="K40" i="2" a="1"/>
  <c r="K40" i="2" l="1"/>
  <c r="Q39" i="2" a="1"/>
  <c r="Q39" i="2" l="1"/>
  <c r="P39" i="2" a="1"/>
  <c r="P39" i="2" l="1"/>
  <c r="O39" i="2" a="1"/>
  <c r="O39" i="2" l="1"/>
  <c r="N39" i="2" a="1"/>
  <c r="N39" i="2" l="1"/>
  <c r="M39" i="2" a="1"/>
  <c r="M39" i="2" l="1"/>
  <c r="L39" i="2" a="1"/>
  <c r="L39" i="2" l="1"/>
  <c r="K39" i="2" a="1"/>
  <c r="K39" i="2" l="1"/>
  <c r="J29" i="2" a="1"/>
  <c r="J29" i="2" l="1"/>
  <c r="I49" i="2" a="1"/>
  <c r="I49" i="2" l="1"/>
  <c r="H49" i="2" a="1"/>
  <c r="H49" i="2" l="1"/>
  <c r="I48" i="2" a="1"/>
  <c r="I48" i="2" l="1"/>
  <c r="H48" i="2" a="1"/>
  <c r="H48" i="2" l="1"/>
  <c r="I47" i="2" a="1"/>
  <c r="I47" i="2" l="1"/>
  <c r="H47" i="2" a="1"/>
  <c r="H47" i="2" l="1"/>
  <c r="I46" i="2" a="1"/>
  <c r="I46" i="2" l="1"/>
  <c r="H46" i="2" a="1"/>
  <c r="H46" i="2" l="1"/>
  <c r="I45" i="2" a="1"/>
  <c r="I45" i="2" l="1"/>
  <c r="H45" i="2" a="1"/>
  <c r="H45" i="2" l="1"/>
  <c r="I44" i="2" a="1"/>
  <c r="I44" i="2" l="1"/>
  <c r="H44" i="2" a="1"/>
  <c r="H44" i="2" l="1"/>
  <c r="I43" i="2" a="1"/>
  <c r="I43" i="2" l="1"/>
  <c r="H43" i="2" a="1"/>
  <c r="H43" i="2" l="1"/>
  <c r="I42" i="2" a="1"/>
  <c r="I42" i="2" l="1"/>
  <c r="H42" i="2" a="1"/>
  <c r="H42" i="2" l="1"/>
  <c r="I41" i="2" a="1"/>
  <c r="I41" i="2" l="1"/>
  <c r="H41" i="2" a="1"/>
  <c r="H41" i="2" l="1"/>
  <c r="I40" i="2" a="1"/>
  <c r="I40" i="2" l="1"/>
  <c r="H40" i="2" a="1"/>
  <c r="H40" i="2" l="1"/>
  <c r="I39" i="2" a="1"/>
  <c r="I39" i="2" l="1"/>
  <c r="H39" i="2" a="1"/>
  <c r="H39" i="2" l="1"/>
  <c r="E49" i="2" a="1"/>
  <c r="E49" i="2" l="1"/>
  <c r="D49" i="2" a="1"/>
  <c r="D49" i="2" l="1"/>
  <c r="C49" i="2" a="1"/>
  <c r="C49" i="2" l="1"/>
  <c r="E48" i="2" a="1"/>
  <c r="E48" i="2" l="1"/>
  <c r="D48" i="2" a="1"/>
  <c r="D48" i="2" l="1"/>
  <c r="C48" i="2" a="1"/>
  <c r="C48" i="2" l="1"/>
  <c r="E47" i="2" a="1"/>
  <c r="E47" i="2" l="1"/>
  <c r="D47" i="2" a="1"/>
  <c r="D47" i="2" l="1"/>
  <c r="C47" i="2" a="1"/>
  <c r="C47" i="2" l="1"/>
  <c r="E46" i="2" a="1"/>
  <c r="E46" i="2" l="1"/>
  <c r="D46" i="2" a="1"/>
  <c r="D46" i="2" l="1"/>
  <c r="C46" i="2" a="1"/>
  <c r="C46" i="2" l="1"/>
  <c r="E45" i="2" a="1"/>
  <c r="E45" i="2" l="1"/>
  <c r="D45" i="2" a="1"/>
  <c r="D45" i="2" l="1"/>
  <c r="C45" i="2" a="1"/>
  <c r="C45" i="2" l="1"/>
  <c r="E44" i="2" a="1"/>
  <c r="E44" i="2" l="1"/>
  <c r="D44" i="2" a="1"/>
  <c r="D44" i="2" l="1"/>
  <c r="C44" i="2" a="1"/>
  <c r="C44" i="2" l="1"/>
  <c r="E43" i="2" a="1"/>
  <c r="E43" i="2" l="1"/>
  <c r="D43" i="2" a="1"/>
  <c r="D43" i="2" l="1"/>
  <c r="C43" i="2" a="1"/>
  <c r="C43" i="2" l="1"/>
  <c r="E42" i="2" a="1"/>
  <c r="E42" i="2" l="1"/>
  <c r="D42" i="2" a="1"/>
  <c r="D42" i="2" l="1"/>
  <c r="C42" i="2" a="1"/>
  <c r="C42" i="2" l="1"/>
  <c r="E41" i="2" a="1"/>
  <c r="E41" i="2" l="1"/>
  <c r="D41" i="2" a="1"/>
  <c r="D41" i="2" l="1"/>
  <c r="C41" i="2" a="1"/>
  <c r="C41" i="2" l="1"/>
  <c r="E40" i="2" a="1"/>
  <c r="E40" i="2" l="1"/>
  <c r="D40" i="2" a="1"/>
  <c r="D40" i="2" l="1"/>
  <c r="C40" i="2" a="1"/>
  <c r="C40" i="2" l="1"/>
  <c r="E39" i="2" a="1"/>
  <c r="E39" i="2" l="1"/>
  <c r="D39" i="2" a="1"/>
  <c r="D39" i="2" l="1"/>
  <c r="C39" i="2" a="1"/>
  <c r="C39" i="2" l="1"/>
  <c r="AA9" i="2"/>
  <c r="AC9" i="2" s="1"/>
  <c r="Z9" i="2"/>
  <c r="AB9" i="2" s="1"/>
  <c r="J60" i="6"/>
  <c r="AD43" i="5"/>
  <c r="C43" i="8" l="1"/>
  <c r="E29" i="2" l="1"/>
  <c r="E32" i="2"/>
  <c r="D32" i="2"/>
  <c r="D29" i="2"/>
  <c r="F32" i="2"/>
  <c r="F29" i="2"/>
  <c r="L13" i="8"/>
  <c r="K13" i="8"/>
  <c r="J13" i="8"/>
  <c r="I13" i="8"/>
  <c r="H13" i="8"/>
  <c r="G13" i="8"/>
  <c r="N76" i="6"/>
  <c r="C11" i="8" s="1"/>
  <c r="L60" i="6"/>
  <c r="K60" i="6"/>
  <c r="M57" i="6"/>
  <c r="L57" i="6"/>
  <c r="K57" i="6"/>
  <c r="J57" i="6"/>
  <c r="M36" i="6"/>
  <c r="N36" i="6" s="1"/>
  <c r="C37" i="8" l="1"/>
  <c r="L14" i="8"/>
  <c r="AA43" i="5"/>
  <c r="I119" i="5" l="1"/>
  <c r="I146" i="5" s="1"/>
  <c r="AB70" i="4"/>
  <c r="W70" i="4"/>
  <c r="R70" i="4"/>
  <c r="M70" i="4"/>
  <c r="E32" i="6" l="1"/>
  <c r="M46" i="4"/>
  <c r="M95" i="5" s="1"/>
  <c r="L95" i="5"/>
  <c r="K95" i="5"/>
  <c r="J95" i="5"/>
  <c r="M83" i="5"/>
  <c r="L83" i="5"/>
  <c r="K83" i="5"/>
  <c r="J83" i="5"/>
  <c r="M82" i="5"/>
  <c r="L82" i="5"/>
  <c r="K82" i="5"/>
  <c r="J82" i="5"/>
  <c r="K78" i="5"/>
  <c r="J78" i="5"/>
  <c r="K77" i="5"/>
  <c r="J77" i="5"/>
  <c r="M67" i="5"/>
  <c r="L67" i="5"/>
  <c r="K67" i="5"/>
  <c r="J67" i="5"/>
  <c r="L64" i="5"/>
  <c r="K64" i="5"/>
  <c r="J64" i="5"/>
  <c r="L60" i="5"/>
  <c r="K60" i="5"/>
  <c r="J60" i="5"/>
  <c r="M57" i="5"/>
  <c r="L57" i="5"/>
  <c r="K57" i="5"/>
  <c r="J57" i="5"/>
  <c r="L54" i="5"/>
  <c r="K54" i="5"/>
  <c r="J54" i="5"/>
  <c r="M51" i="5"/>
  <c r="L51" i="5"/>
  <c r="K51" i="5"/>
  <c r="J51" i="5"/>
  <c r="M43" i="5"/>
  <c r="L43" i="5"/>
  <c r="K43" i="5"/>
  <c r="J43" i="5"/>
  <c r="L40" i="5"/>
  <c r="K40" i="5"/>
  <c r="J40" i="5"/>
  <c r="L37" i="5"/>
  <c r="L39" i="5" s="1"/>
  <c r="K37" i="5"/>
  <c r="J37" i="5"/>
  <c r="L34" i="5"/>
  <c r="K34" i="5"/>
  <c r="J34" i="5"/>
  <c r="L31" i="5"/>
  <c r="K31" i="5"/>
  <c r="J31" i="5"/>
  <c r="L28" i="5"/>
  <c r="K28" i="5"/>
  <c r="J28" i="5"/>
  <c r="L20" i="5"/>
  <c r="K20" i="5"/>
  <c r="J20" i="5"/>
  <c r="L14" i="5"/>
  <c r="K14" i="5"/>
  <c r="J14" i="5"/>
  <c r="M28" i="4"/>
  <c r="M10" i="4"/>
  <c r="M14" i="5" s="1"/>
  <c r="M27" i="4"/>
  <c r="M64" i="5" s="1"/>
  <c r="M26" i="4"/>
  <c r="M60" i="5" s="1"/>
  <c r="M25" i="4"/>
  <c r="M24" i="4"/>
  <c r="M54" i="5" s="1"/>
  <c r="M23" i="4"/>
  <c r="M22" i="4"/>
  <c r="M20" i="4"/>
  <c r="M19" i="4"/>
  <c r="M40" i="5" s="1"/>
  <c r="M18" i="4"/>
  <c r="M37" i="5" s="1"/>
  <c r="M17" i="4"/>
  <c r="M34" i="5" s="1"/>
  <c r="M16" i="4"/>
  <c r="M31" i="5" s="1"/>
  <c r="M15" i="4"/>
  <c r="M28" i="5" s="1"/>
  <c r="M13" i="4"/>
  <c r="M20" i="5" s="1"/>
  <c r="R46" i="4"/>
  <c r="AB46" i="4"/>
  <c r="W46" i="4"/>
  <c r="W95" i="5" s="1"/>
  <c r="AD83" i="5"/>
  <c r="AD82" i="5"/>
  <c r="AD78" i="5"/>
  <c r="AD77" i="5"/>
  <c r="AD67" i="5"/>
  <c r="AD64" i="5"/>
  <c r="AD57" i="5"/>
  <c r="AD54" i="5"/>
  <c r="AD51" i="5"/>
  <c r="AD40" i="5"/>
  <c r="AD37" i="5"/>
  <c r="AD34" i="5"/>
  <c r="AD31" i="5"/>
  <c r="AD28" i="5"/>
  <c r="AD20" i="5"/>
  <c r="AD14" i="5"/>
  <c r="AD12" i="5"/>
  <c r="AD10" i="5"/>
  <c r="AD8" i="5"/>
  <c r="AD6" i="5"/>
  <c r="AC141" i="5"/>
  <c r="X141" i="5"/>
  <c r="S141" i="5"/>
  <c r="N141" i="5"/>
  <c r="AC140" i="5"/>
  <c r="X140" i="5"/>
  <c r="S140" i="5"/>
  <c r="N140" i="5"/>
  <c r="AC139" i="5"/>
  <c r="X139" i="5"/>
  <c r="S139" i="5"/>
  <c r="N139" i="5"/>
  <c r="AC138" i="5"/>
  <c r="X138" i="5"/>
  <c r="S138" i="5"/>
  <c r="N138" i="5"/>
  <c r="AC137" i="5"/>
  <c r="X137" i="5"/>
  <c r="S137" i="5"/>
  <c r="N137" i="5"/>
  <c r="AC136" i="5"/>
  <c r="X136" i="5"/>
  <c r="S136" i="5"/>
  <c r="N136" i="5"/>
  <c r="AC135" i="5"/>
  <c r="X135" i="5"/>
  <c r="S135" i="5"/>
  <c r="N135" i="5"/>
  <c r="AC134" i="5"/>
  <c r="X134" i="5"/>
  <c r="S134" i="5"/>
  <c r="N134" i="5"/>
  <c r="AC133" i="5"/>
  <c r="X133" i="5"/>
  <c r="S133" i="5"/>
  <c r="N133" i="5"/>
  <c r="AC132" i="5"/>
  <c r="X132" i="5"/>
  <c r="S132" i="5"/>
  <c r="N132" i="5"/>
  <c r="AC131" i="5"/>
  <c r="X131" i="5"/>
  <c r="S131" i="5"/>
  <c r="N131" i="5"/>
  <c r="AC130" i="5"/>
  <c r="X130" i="5"/>
  <c r="S130" i="5"/>
  <c r="N130" i="5"/>
  <c r="AC129" i="5"/>
  <c r="X129" i="5"/>
  <c r="S129" i="5"/>
  <c r="N129" i="5"/>
  <c r="AC128" i="5"/>
  <c r="X128" i="5"/>
  <c r="S128" i="5"/>
  <c r="N128" i="5"/>
  <c r="AC127" i="5"/>
  <c r="X127" i="5"/>
  <c r="S127" i="5"/>
  <c r="N127" i="5"/>
  <c r="AC126" i="5"/>
  <c r="X126" i="5"/>
  <c r="S126" i="5"/>
  <c r="N126" i="5"/>
  <c r="AC123" i="5"/>
  <c r="X123" i="5"/>
  <c r="S123" i="5"/>
  <c r="N123" i="5"/>
  <c r="AC122" i="5"/>
  <c r="X122" i="5"/>
  <c r="S122" i="5"/>
  <c r="N122" i="5"/>
  <c r="AC121" i="5"/>
  <c r="X121" i="5"/>
  <c r="S121" i="5"/>
  <c r="N121" i="5"/>
  <c r="AC120" i="5"/>
  <c r="X120" i="5"/>
  <c r="S120" i="5"/>
  <c r="N120" i="5"/>
  <c r="AC119" i="5"/>
  <c r="AC146" i="5" s="1"/>
  <c r="I32" i="6" s="1"/>
  <c r="I60" i="6" s="1"/>
  <c r="X119" i="5"/>
  <c r="X146" i="5" s="1"/>
  <c r="S119" i="5"/>
  <c r="S146" i="5" s="1"/>
  <c r="N119" i="5"/>
  <c r="N146" i="5" s="1"/>
  <c r="AC116" i="5"/>
  <c r="X116" i="5"/>
  <c r="S116" i="5"/>
  <c r="N116" i="5"/>
  <c r="I116" i="5"/>
  <c r="AC115" i="5"/>
  <c r="X115" i="5"/>
  <c r="S115" i="5"/>
  <c r="N115" i="5"/>
  <c r="I115" i="5"/>
  <c r="AC114" i="5"/>
  <c r="X114" i="5"/>
  <c r="S114" i="5"/>
  <c r="N114" i="5"/>
  <c r="I114" i="5"/>
  <c r="AC113" i="5"/>
  <c r="X113" i="5"/>
  <c r="S113" i="5"/>
  <c r="N113" i="5"/>
  <c r="I113" i="5"/>
  <c r="AC112" i="5"/>
  <c r="X112" i="5"/>
  <c r="S112" i="5"/>
  <c r="N112" i="5"/>
  <c r="I112" i="5"/>
  <c r="AC111" i="5"/>
  <c r="X111" i="5"/>
  <c r="S111" i="5"/>
  <c r="N111" i="5"/>
  <c r="I111" i="5"/>
  <c r="AC110" i="5"/>
  <c r="X110" i="5"/>
  <c r="S110" i="5"/>
  <c r="N110" i="5"/>
  <c r="I110" i="5"/>
  <c r="AC107" i="5"/>
  <c r="X107" i="5"/>
  <c r="S107" i="5"/>
  <c r="N107" i="5"/>
  <c r="I107" i="5"/>
  <c r="AC106" i="5"/>
  <c r="X106" i="5"/>
  <c r="S106" i="5"/>
  <c r="N106" i="5"/>
  <c r="I106" i="5"/>
  <c r="AC105" i="5"/>
  <c r="X105" i="5"/>
  <c r="S105" i="5"/>
  <c r="N105" i="5"/>
  <c r="I105" i="5"/>
  <c r="AC104" i="5"/>
  <c r="X104" i="5"/>
  <c r="S104" i="5"/>
  <c r="N104" i="5"/>
  <c r="I104" i="5"/>
  <c r="AC103" i="5"/>
  <c r="X103" i="5"/>
  <c r="S103" i="5"/>
  <c r="N103" i="5"/>
  <c r="I103" i="5"/>
  <c r="AC102" i="5"/>
  <c r="X102" i="5"/>
  <c r="S102" i="5"/>
  <c r="N102" i="5"/>
  <c r="I102" i="5"/>
  <c r="AC101" i="5"/>
  <c r="X101" i="5"/>
  <c r="S101" i="5"/>
  <c r="N101" i="5"/>
  <c r="I101" i="5"/>
  <c r="AC100" i="5"/>
  <c r="X100" i="5"/>
  <c r="S100" i="5"/>
  <c r="N100" i="5"/>
  <c r="I100" i="5"/>
  <c r="AC99" i="5"/>
  <c r="X99" i="5"/>
  <c r="S99" i="5"/>
  <c r="N99" i="5"/>
  <c r="I99" i="5"/>
  <c r="AC98" i="5"/>
  <c r="X98" i="5"/>
  <c r="S98" i="5"/>
  <c r="N98" i="5"/>
  <c r="I98" i="5"/>
  <c r="AC97" i="5"/>
  <c r="X97" i="5"/>
  <c r="S97" i="5"/>
  <c r="N97" i="5"/>
  <c r="I97" i="5"/>
  <c r="AC96" i="5"/>
  <c r="X96" i="5"/>
  <c r="S96" i="5"/>
  <c r="N96" i="5"/>
  <c r="I96" i="5"/>
  <c r="AC95" i="5"/>
  <c r="AB95" i="5"/>
  <c r="AA95" i="5"/>
  <c r="Z95" i="5"/>
  <c r="Y95" i="5"/>
  <c r="X95" i="5"/>
  <c r="H29" i="6" s="1"/>
  <c r="V95" i="5"/>
  <c r="U95" i="5"/>
  <c r="T95" i="5"/>
  <c r="S95" i="5"/>
  <c r="G29" i="6" s="1"/>
  <c r="R95" i="5"/>
  <c r="Q95" i="5"/>
  <c r="P95" i="5"/>
  <c r="O95" i="5"/>
  <c r="N95" i="5"/>
  <c r="F29" i="6" s="1"/>
  <c r="I95" i="5"/>
  <c r="E29" i="6" s="1"/>
  <c r="AC93" i="5"/>
  <c r="X93" i="5"/>
  <c r="S93" i="5"/>
  <c r="N93" i="5"/>
  <c r="I93" i="5"/>
  <c r="AC83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O83" i="5"/>
  <c r="N83" i="5"/>
  <c r="AC82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O82" i="5"/>
  <c r="N82" i="5"/>
  <c r="I83" i="5"/>
  <c r="I82" i="5"/>
  <c r="AC78" i="5"/>
  <c r="I11" i="8" s="1"/>
  <c r="AA78" i="5"/>
  <c r="Z78" i="5"/>
  <c r="Y78" i="5"/>
  <c r="X78" i="5"/>
  <c r="H11" i="8" s="1"/>
  <c r="V78" i="5"/>
  <c r="U78" i="5"/>
  <c r="T78" i="5"/>
  <c r="S78" i="5"/>
  <c r="G11" i="8" s="1"/>
  <c r="Q78" i="5"/>
  <c r="P78" i="5"/>
  <c r="O78" i="5"/>
  <c r="N78" i="5"/>
  <c r="I78" i="5"/>
  <c r="AC77" i="5"/>
  <c r="AA77" i="5"/>
  <c r="Z77" i="5"/>
  <c r="Y77" i="5"/>
  <c r="X77" i="5"/>
  <c r="V77" i="5"/>
  <c r="U77" i="5"/>
  <c r="T77" i="5"/>
  <c r="S77" i="5"/>
  <c r="Q77" i="5"/>
  <c r="P77" i="5"/>
  <c r="O77" i="5"/>
  <c r="N77" i="5"/>
  <c r="I77" i="5"/>
  <c r="AA67" i="5"/>
  <c r="Z67" i="5"/>
  <c r="Y67" i="5"/>
  <c r="X67" i="5"/>
  <c r="X68" i="5" s="1"/>
  <c r="V67" i="5"/>
  <c r="U67" i="5"/>
  <c r="T67" i="5"/>
  <c r="S67" i="5"/>
  <c r="Q67" i="5"/>
  <c r="P67" i="5"/>
  <c r="P68" i="5" s="1"/>
  <c r="O67" i="5"/>
  <c r="O68" i="5" s="1"/>
  <c r="N67" i="5"/>
  <c r="AC64" i="5"/>
  <c r="AA64" i="5"/>
  <c r="Z64" i="5"/>
  <c r="Y64" i="5"/>
  <c r="X64" i="5"/>
  <c r="V64" i="5"/>
  <c r="U64" i="5"/>
  <c r="T64" i="5"/>
  <c r="S64" i="5"/>
  <c r="Q64" i="5"/>
  <c r="P64" i="5"/>
  <c r="O64" i="5"/>
  <c r="N64" i="5"/>
  <c r="AC60" i="5"/>
  <c r="AA60" i="5"/>
  <c r="Z60" i="5"/>
  <c r="Y60" i="5"/>
  <c r="X60" i="5"/>
  <c r="V60" i="5"/>
  <c r="V61" i="5" s="1"/>
  <c r="U60" i="5"/>
  <c r="T60" i="5"/>
  <c r="S60" i="5"/>
  <c r="Q60" i="5"/>
  <c r="Q61" i="5" s="1"/>
  <c r="P60" i="5"/>
  <c r="O60" i="5"/>
  <c r="N60" i="5"/>
  <c r="AC57" i="5"/>
  <c r="AA57" i="5"/>
  <c r="Z57" i="5"/>
  <c r="Z58" i="5" s="1"/>
  <c r="Y57" i="5"/>
  <c r="X57" i="5"/>
  <c r="X58" i="5" s="1"/>
  <c r="V57" i="5"/>
  <c r="U57" i="5"/>
  <c r="T57" i="5"/>
  <c r="S57" i="5"/>
  <c r="Q57" i="5"/>
  <c r="Q58" i="5" s="1"/>
  <c r="P57" i="5"/>
  <c r="P58" i="5" s="1"/>
  <c r="O57" i="5"/>
  <c r="O58" i="5" s="1"/>
  <c r="N57" i="5"/>
  <c r="AC54" i="5"/>
  <c r="AC55" i="5" s="1"/>
  <c r="AA54" i="5"/>
  <c r="Z54" i="5"/>
  <c r="Y54" i="5"/>
  <c r="X54" i="5"/>
  <c r="V54" i="5"/>
  <c r="U54" i="5"/>
  <c r="T54" i="5"/>
  <c r="S54" i="5"/>
  <c r="Q54" i="5"/>
  <c r="Q55" i="5" s="1"/>
  <c r="P54" i="5"/>
  <c r="P55" i="5" s="1"/>
  <c r="O54" i="5"/>
  <c r="O55" i="5" s="1"/>
  <c r="N54" i="5"/>
  <c r="AC51" i="5"/>
  <c r="AA51" i="5"/>
  <c r="Z51" i="5"/>
  <c r="Y51" i="5"/>
  <c r="X51" i="5"/>
  <c r="V51" i="5"/>
  <c r="U51" i="5"/>
  <c r="T51" i="5"/>
  <c r="S51" i="5"/>
  <c r="Q51" i="5"/>
  <c r="P51" i="5"/>
  <c r="O51" i="5"/>
  <c r="N51" i="5"/>
  <c r="I67" i="5"/>
  <c r="I64" i="5"/>
  <c r="I60" i="5"/>
  <c r="I57" i="5"/>
  <c r="I54" i="5"/>
  <c r="I51" i="5"/>
  <c r="X46" i="5"/>
  <c r="S46" i="5"/>
  <c r="N46" i="5"/>
  <c r="N72" i="5" s="1"/>
  <c r="F25" i="6" s="1"/>
  <c r="I46" i="5"/>
  <c r="I72" i="5" s="1"/>
  <c r="E25" i="6" s="1"/>
  <c r="AC43" i="5"/>
  <c r="Z43" i="5"/>
  <c r="Y43" i="5"/>
  <c r="X43" i="5"/>
  <c r="V43" i="5"/>
  <c r="AA44" i="5" s="1"/>
  <c r="U43" i="5"/>
  <c r="T43" i="5"/>
  <c r="S43" i="5"/>
  <c r="Q43" i="5"/>
  <c r="Q44" i="5" s="1"/>
  <c r="P43" i="5"/>
  <c r="O43" i="5"/>
  <c r="O44" i="5" s="1"/>
  <c r="N43" i="5"/>
  <c r="I43" i="5"/>
  <c r="AC40" i="5"/>
  <c r="AB40" i="5"/>
  <c r="AA40" i="5"/>
  <c r="Z40" i="5"/>
  <c r="Y40" i="5"/>
  <c r="X40" i="5"/>
  <c r="W40" i="5"/>
  <c r="V40" i="5"/>
  <c r="U40" i="5"/>
  <c r="T40" i="5"/>
  <c r="S40" i="5"/>
  <c r="Q40" i="5"/>
  <c r="Q41" i="5" s="1"/>
  <c r="P40" i="5"/>
  <c r="P41" i="5" s="1"/>
  <c r="O40" i="5"/>
  <c r="O41" i="5" s="1"/>
  <c r="N40" i="5"/>
  <c r="I40" i="5"/>
  <c r="AC37" i="5"/>
  <c r="AA37" i="5"/>
  <c r="Z37" i="5"/>
  <c r="Y37" i="5"/>
  <c r="X37" i="5"/>
  <c r="W37" i="5"/>
  <c r="V37" i="5"/>
  <c r="U37" i="5"/>
  <c r="T37" i="5"/>
  <c r="S37" i="5"/>
  <c r="Q37" i="5"/>
  <c r="P37" i="5"/>
  <c r="O37" i="5"/>
  <c r="N37" i="5"/>
  <c r="I37" i="5"/>
  <c r="AC34" i="5"/>
  <c r="AA34" i="5"/>
  <c r="Z34" i="5"/>
  <c r="Y34" i="5"/>
  <c r="X34" i="5"/>
  <c r="V34" i="5"/>
  <c r="U34" i="5"/>
  <c r="T34" i="5"/>
  <c r="S34" i="5"/>
  <c r="Q34" i="5"/>
  <c r="P34" i="5"/>
  <c r="O34" i="5"/>
  <c r="N34" i="5"/>
  <c r="AC31" i="5"/>
  <c r="AA31" i="5"/>
  <c r="Z31" i="5"/>
  <c r="Y31" i="5"/>
  <c r="X31" i="5"/>
  <c r="V31" i="5"/>
  <c r="U31" i="5"/>
  <c r="T31" i="5"/>
  <c r="S31" i="5"/>
  <c r="R31" i="5"/>
  <c r="Q31" i="5"/>
  <c r="P31" i="5"/>
  <c r="O31" i="5"/>
  <c r="N31" i="5"/>
  <c r="I34" i="5"/>
  <c r="I31" i="5"/>
  <c r="AC28" i="5"/>
  <c r="AB28" i="5"/>
  <c r="AA28" i="5"/>
  <c r="Z28" i="5"/>
  <c r="Y28" i="5"/>
  <c r="X28" i="5"/>
  <c r="V28" i="5"/>
  <c r="U28" i="5"/>
  <c r="T28" i="5"/>
  <c r="S28" i="5"/>
  <c r="Q28" i="5"/>
  <c r="Q29" i="5" s="1"/>
  <c r="P28" i="5"/>
  <c r="O28" i="5"/>
  <c r="O29" i="5" s="1"/>
  <c r="N28" i="5"/>
  <c r="I28" i="5"/>
  <c r="AC20" i="5"/>
  <c r="AA20" i="5"/>
  <c r="Z20" i="5"/>
  <c r="Y20" i="5"/>
  <c r="X20" i="5"/>
  <c r="V20" i="5"/>
  <c r="U20" i="5"/>
  <c r="T20" i="5"/>
  <c r="S20" i="5"/>
  <c r="R20" i="5"/>
  <c r="Q20" i="5"/>
  <c r="P20" i="5"/>
  <c r="P23" i="5" s="1"/>
  <c r="P25" i="5" s="1"/>
  <c r="O20" i="5"/>
  <c r="N20" i="5"/>
  <c r="I20" i="5"/>
  <c r="R14" i="5"/>
  <c r="Q14" i="5"/>
  <c r="Q46" i="5" s="1"/>
  <c r="Q48" i="5" s="1"/>
  <c r="P14" i="5"/>
  <c r="O14" i="5"/>
  <c r="O23" i="5" s="1"/>
  <c r="O25" i="5" s="1"/>
  <c r="R32" i="4"/>
  <c r="R78" i="5" s="1"/>
  <c r="R31" i="4"/>
  <c r="R77" i="5" s="1"/>
  <c r="R28" i="4"/>
  <c r="R67" i="5" s="1"/>
  <c r="R27" i="4"/>
  <c r="R64" i="5" s="1"/>
  <c r="R26" i="4"/>
  <c r="R60" i="5" s="1"/>
  <c r="R25" i="4"/>
  <c r="R57" i="5" s="1"/>
  <c r="R24" i="4"/>
  <c r="R54" i="5" s="1"/>
  <c r="R23" i="4"/>
  <c r="R51" i="5" s="1"/>
  <c r="R22" i="4"/>
  <c r="R20" i="4"/>
  <c r="R43" i="5" s="1"/>
  <c r="W44" i="5" s="1"/>
  <c r="R19" i="4"/>
  <c r="R40" i="5" s="1"/>
  <c r="R41" i="5" s="1"/>
  <c r="R18" i="4"/>
  <c r="R37" i="5" s="1"/>
  <c r="R17" i="4"/>
  <c r="R34" i="5" s="1"/>
  <c r="R16" i="4"/>
  <c r="R15" i="4"/>
  <c r="R28" i="5" s="1"/>
  <c r="R13" i="4"/>
  <c r="R10" i="4"/>
  <c r="W19" i="4"/>
  <c r="W10" i="4"/>
  <c r="W14" i="5" s="1"/>
  <c r="AB12" i="5"/>
  <c r="AG12" i="5" s="1"/>
  <c r="AA14" i="5"/>
  <c r="AA23" i="5" s="1"/>
  <c r="AA12" i="5"/>
  <c r="AA10" i="5"/>
  <c r="AF10" i="5" s="1"/>
  <c r="AA8" i="5"/>
  <c r="AA6" i="5"/>
  <c r="AF6" i="5" s="1"/>
  <c r="Z14" i="5"/>
  <c r="Z12" i="5"/>
  <c r="Z10" i="5"/>
  <c r="Z8" i="5"/>
  <c r="Z6" i="5"/>
  <c r="Y14" i="5"/>
  <c r="Y12" i="5"/>
  <c r="Y10" i="5"/>
  <c r="Y8" i="5"/>
  <c r="Y6" i="5"/>
  <c r="V12" i="5"/>
  <c r="V10" i="5"/>
  <c r="V8" i="5"/>
  <c r="V6" i="5"/>
  <c r="U14" i="5"/>
  <c r="U12" i="5"/>
  <c r="U10" i="5"/>
  <c r="U8" i="5"/>
  <c r="U6" i="5"/>
  <c r="T14" i="5"/>
  <c r="T16" i="5" s="1"/>
  <c r="T12" i="5"/>
  <c r="T10" i="5"/>
  <c r="T8" i="5"/>
  <c r="T6" i="5"/>
  <c r="AC14" i="5"/>
  <c r="AC62" i="5" s="1"/>
  <c r="AC12" i="5"/>
  <c r="AC10" i="5"/>
  <c r="AC8" i="5"/>
  <c r="AC6" i="5"/>
  <c r="X14" i="5"/>
  <c r="X12" i="5"/>
  <c r="X10" i="5"/>
  <c r="X8" i="5"/>
  <c r="X6" i="5"/>
  <c r="S14" i="5"/>
  <c r="S12" i="5"/>
  <c r="S10" i="5"/>
  <c r="S8" i="5"/>
  <c r="S6" i="5"/>
  <c r="N14" i="5"/>
  <c r="N12" i="5"/>
  <c r="N10" i="5"/>
  <c r="N8" i="5"/>
  <c r="N6" i="5"/>
  <c r="I14" i="5"/>
  <c r="I23" i="5" s="1"/>
  <c r="I25" i="5" s="1"/>
  <c r="AB9" i="4"/>
  <c r="AB8" i="4"/>
  <c r="AB10" i="5" s="1"/>
  <c r="AG10" i="5" s="1"/>
  <c r="AB7" i="4"/>
  <c r="AB8" i="5" s="1"/>
  <c r="AG8" i="5" s="1"/>
  <c r="AB6" i="4"/>
  <c r="AB6" i="5" s="1"/>
  <c r="AG6" i="5" s="1"/>
  <c r="W9" i="4"/>
  <c r="W12" i="5" s="1"/>
  <c r="W8" i="4"/>
  <c r="W10" i="5" s="1"/>
  <c r="AB11" i="5" s="1"/>
  <c r="W7" i="4"/>
  <c r="W8" i="5" s="1"/>
  <c r="W6" i="4"/>
  <c r="W6" i="5" s="1"/>
  <c r="AB32" i="4"/>
  <c r="AB78" i="5" s="1"/>
  <c r="AB31" i="4"/>
  <c r="AB77" i="5" s="1"/>
  <c r="AB28" i="4"/>
  <c r="AB67" i="5" s="1"/>
  <c r="AB27" i="4"/>
  <c r="AB64" i="5" s="1"/>
  <c r="AB26" i="4"/>
  <c r="AB60" i="5" s="1"/>
  <c r="AB25" i="4"/>
  <c r="AB57" i="5" s="1"/>
  <c r="AB24" i="4"/>
  <c r="AB54" i="5" s="1"/>
  <c r="AB23" i="4"/>
  <c r="AB51" i="5" s="1"/>
  <c r="AB22" i="4"/>
  <c r="AB20" i="4"/>
  <c r="AB18" i="4"/>
  <c r="AB17" i="4"/>
  <c r="AB34" i="5" s="1"/>
  <c r="AB16" i="4"/>
  <c r="AB31" i="5" s="1"/>
  <c r="AB15" i="4"/>
  <c r="AB13" i="4"/>
  <c r="AB20" i="5" s="1"/>
  <c r="AB10" i="4"/>
  <c r="AB14" i="5" s="1"/>
  <c r="W32" i="4"/>
  <c r="W78" i="5" s="1"/>
  <c r="W31" i="4"/>
  <c r="W77" i="5" s="1"/>
  <c r="W28" i="4"/>
  <c r="W67" i="5" s="1"/>
  <c r="W27" i="4"/>
  <c r="W64" i="5" s="1"/>
  <c r="W26" i="4"/>
  <c r="W60" i="5" s="1"/>
  <c r="W25" i="4"/>
  <c r="W57" i="5" s="1"/>
  <c r="W24" i="4"/>
  <c r="W54" i="5" s="1"/>
  <c r="W56" i="5" s="1"/>
  <c r="W23" i="4"/>
  <c r="W51" i="5" s="1"/>
  <c r="W22" i="4"/>
  <c r="W20" i="4"/>
  <c r="W43" i="5" s="1"/>
  <c r="W18" i="4"/>
  <c r="W17" i="4"/>
  <c r="W34" i="5" s="1"/>
  <c r="W16" i="4"/>
  <c r="W31" i="5" s="1"/>
  <c r="W15" i="4"/>
  <c r="W28" i="5" s="1"/>
  <c r="W13" i="4"/>
  <c r="W20" i="5" s="1"/>
  <c r="S52" i="5" l="1"/>
  <c r="Y23" i="5"/>
  <c r="P44" i="5"/>
  <c r="AA68" i="5"/>
  <c r="R53" i="5"/>
  <c r="V38" i="5"/>
  <c r="V21" i="5"/>
  <c r="Y9" i="5"/>
  <c r="N35" i="5"/>
  <c r="T52" i="5"/>
  <c r="W35" i="5"/>
  <c r="Y11" i="5"/>
  <c r="V52" i="5"/>
  <c r="S61" i="5"/>
  <c r="Q68" i="5"/>
  <c r="Z11" i="5"/>
  <c r="Z38" i="5"/>
  <c r="P46" i="5"/>
  <c r="P48" i="5" s="1"/>
  <c r="N56" i="5"/>
  <c r="AC35" i="5"/>
  <c r="Y38" i="5"/>
  <c r="AA13" i="5"/>
  <c r="AF12" i="5"/>
  <c r="AG14" i="5"/>
  <c r="W16" i="5"/>
  <c r="AB7" i="5"/>
  <c r="I53" i="5"/>
  <c r="U52" i="5"/>
  <c r="AC72" i="5"/>
  <c r="I25" i="6" s="1"/>
  <c r="AH6" i="5"/>
  <c r="I143" i="5"/>
  <c r="E35" i="6" s="1"/>
  <c r="N48" i="5"/>
  <c r="U69" i="5"/>
  <c r="I30" i="5"/>
  <c r="AA29" i="5"/>
  <c r="X44" i="5"/>
  <c r="T61" i="5"/>
  <c r="AH10" i="5"/>
  <c r="AD59" i="5"/>
  <c r="I52" i="6"/>
  <c r="AC9" i="5"/>
  <c r="P38" i="5"/>
  <c r="I56" i="5"/>
  <c r="W62" i="5"/>
  <c r="R22" i="5"/>
  <c r="V32" i="5"/>
  <c r="I62" i="5"/>
  <c r="U61" i="5"/>
  <c r="S143" i="5"/>
  <c r="G35" i="6" s="1"/>
  <c r="AC32" i="5"/>
  <c r="AD15" i="5"/>
  <c r="AD46" i="5"/>
  <c r="AD72" i="5" s="1"/>
  <c r="AD74" i="5" s="1"/>
  <c r="Y58" i="5"/>
  <c r="K69" i="5"/>
  <c r="Z16" i="5"/>
  <c r="Z45" i="5"/>
  <c r="AB55" i="5"/>
  <c r="R39" i="5"/>
  <c r="S42" i="5"/>
  <c r="N44" i="5"/>
  <c r="AA55" i="5"/>
  <c r="L69" i="5"/>
  <c r="AB32" i="5"/>
  <c r="R55" i="5"/>
  <c r="AB69" i="5"/>
  <c r="R59" i="5"/>
  <c r="R58" i="5"/>
  <c r="R61" i="5"/>
  <c r="AB16" i="5"/>
  <c r="W58" i="5"/>
  <c r="R65" i="5"/>
  <c r="M23" i="5"/>
  <c r="M25" i="5" s="1"/>
  <c r="AB62" i="5"/>
  <c r="R69" i="5"/>
  <c r="R68" i="5"/>
  <c r="AB65" i="5"/>
  <c r="W52" i="5"/>
  <c r="AB53" i="5"/>
  <c r="M36" i="5"/>
  <c r="W68" i="5"/>
  <c r="AB9" i="5"/>
  <c r="AB59" i="5"/>
  <c r="M42" i="5"/>
  <c r="O65" i="5"/>
  <c r="AA65" i="5"/>
  <c r="G32" i="6"/>
  <c r="S147" i="5"/>
  <c r="P65" i="5"/>
  <c r="P66" i="5"/>
  <c r="U59" i="5"/>
  <c r="N143" i="5"/>
  <c r="H32" i="6"/>
  <c r="X147" i="5"/>
  <c r="AD11" i="5"/>
  <c r="U16" i="5"/>
  <c r="Q65" i="5"/>
  <c r="Q66" i="5"/>
  <c r="Y69" i="5"/>
  <c r="AC147" i="5"/>
  <c r="AD13" i="5"/>
  <c r="U22" i="5"/>
  <c r="I59" i="5"/>
  <c r="N59" i="5"/>
  <c r="Z59" i="5"/>
  <c r="N68" i="5"/>
  <c r="Z69" i="5"/>
  <c r="X143" i="5"/>
  <c r="AC23" i="5"/>
  <c r="I4" i="8"/>
  <c r="S56" i="5"/>
  <c r="AA59" i="5"/>
  <c r="S66" i="5"/>
  <c r="G52" i="6"/>
  <c r="AC65" i="5"/>
  <c r="J39" i="5"/>
  <c r="Y16" i="5"/>
  <c r="AC29" i="5"/>
  <c r="S36" i="5"/>
  <c r="I66" i="5"/>
  <c r="E52" i="6"/>
  <c r="X53" i="5"/>
  <c r="T56" i="5"/>
  <c r="X62" i="5"/>
  <c r="Y68" i="5"/>
  <c r="J56" i="5"/>
  <c r="S23" i="5"/>
  <c r="S25" i="5" s="1"/>
  <c r="G4" i="8"/>
  <c r="R46" i="5"/>
  <c r="R48" i="5" s="1"/>
  <c r="AA38" i="5"/>
  <c r="W42" i="5"/>
  <c r="S30" i="5"/>
  <c r="I69" i="5"/>
  <c r="Y53" i="5"/>
  <c r="U56" i="5"/>
  <c r="AC59" i="5"/>
  <c r="Y62" i="5"/>
  <c r="AC69" i="5"/>
  <c r="AD32" i="5"/>
  <c r="K56" i="5"/>
  <c r="AA16" i="5"/>
  <c r="X7" i="5"/>
  <c r="S29" i="5"/>
  <c r="Y32" i="5"/>
  <c r="N53" i="5"/>
  <c r="Z53" i="5"/>
  <c r="N62" i="5"/>
  <c r="Z62" i="5"/>
  <c r="X52" i="5"/>
  <c r="AD33" i="5"/>
  <c r="X9" i="5"/>
  <c r="W23" i="5"/>
  <c r="T29" i="5"/>
  <c r="Y41" i="5"/>
  <c r="I74" i="5"/>
  <c r="O53" i="5"/>
  <c r="AA53" i="5"/>
  <c r="S59" i="5"/>
  <c r="O62" i="5"/>
  <c r="AA62" i="5"/>
  <c r="S69" i="5"/>
  <c r="S53" i="5"/>
  <c r="AD36" i="5"/>
  <c r="J36" i="5"/>
  <c r="O16" i="5"/>
  <c r="E22" i="6"/>
  <c r="E46" i="6" s="1"/>
  <c r="S7" i="5"/>
  <c r="X11" i="5"/>
  <c r="AA7" i="5"/>
  <c r="O22" i="5"/>
  <c r="U29" i="5"/>
  <c r="O33" i="5"/>
  <c r="AA33" i="5"/>
  <c r="P53" i="5"/>
  <c r="X56" i="5"/>
  <c r="T59" i="5"/>
  <c r="P62" i="5"/>
  <c r="X65" i="5"/>
  <c r="H52" i="6"/>
  <c r="X66" i="5"/>
  <c r="T69" i="5"/>
  <c r="S55" i="5"/>
  <c r="AD39" i="5"/>
  <c r="K36" i="5"/>
  <c r="P16" i="5"/>
  <c r="F22" i="6"/>
  <c r="I29" i="6"/>
  <c r="I57" i="6" s="1"/>
  <c r="Z7" i="5"/>
  <c r="AA9" i="5"/>
  <c r="AF8" i="5" s="1"/>
  <c r="X35" i="5"/>
  <c r="AA41" i="5"/>
  <c r="S72" i="5"/>
  <c r="S73" i="5" s="1"/>
  <c r="G9" i="8" s="1"/>
  <c r="Q53" i="5"/>
  <c r="AC53" i="5"/>
  <c r="Y56" i="5"/>
  <c r="U58" i="5"/>
  <c r="AC61" i="5"/>
  <c r="Y65" i="5"/>
  <c r="U68" i="5"/>
  <c r="K45" i="5"/>
  <c r="Q16" i="5"/>
  <c r="G22" i="6"/>
  <c r="I147" i="5"/>
  <c r="S11" i="5"/>
  <c r="X15" i="5"/>
  <c r="H4" i="8"/>
  <c r="Y7" i="5"/>
  <c r="AA11" i="5"/>
  <c r="Y36" i="5"/>
  <c r="AB41" i="5"/>
  <c r="X47" i="5"/>
  <c r="X72" i="5"/>
  <c r="N55" i="5"/>
  <c r="Z55" i="5"/>
  <c r="V58" i="5"/>
  <c r="N66" i="5"/>
  <c r="N65" i="5"/>
  <c r="F52" i="6"/>
  <c r="Z65" i="5"/>
  <c r="V68" i="5"/>
  <c r="Z56" i="5"/>
  <c r="H12" i="8"/>
  <c r="F32" i="6"/>
  <c r="N147" i="5"/>
  <c r="R16" i="5"/>
  <c r="H22" i="6"/>
  <c r="AC74" i="5"/>
  <c r="N73" i="5"/>
  <c r="N74" i="5"/>
  <c r="R23" i="5"/>
  <c r="V29" i="5"/>
  <c r="P33" i="5"/>
  <c r="S39" i="5"/>
  <c r="N42" i="5"/>
  <c r="Z42" i="5"/>
  <c r="U45" i="5"/>
  <c r="U30" i="5"/>
  <c r="Y52" i="5"/>
  <c r="T53" i="5"/>
  <c r="T55" i="5"/>
  <c r="O56" i="5"/>
  <c r="AA56" i="5"/>
  <c r="AA58" i="5"/>
  <c r="W61" i="5"/>
  <c r="R62" i="5"/>
  <c r="Z68" i="5"/>
  <c r="AD56" i="5"/>
  <c r="J22" i="5"/>
  <c r="J42" i="5"/>
  <c r="M46" i="5"/>
  <c r="M66" i="5" s="1"/>
  <c r="J59" i="5"/>
  <c r="O15" i="5"/>
  <c r="P32" i="5"/>
  <c r="O52" i="5"/>
  <c r="O61" i="5"/>
  <c r="AC11" i="5"/>
  <c r="U23" i="5"/>
  <c r="U25" i="5" s="1"/>
  <c r="Y13" i="5"/>
  <c r="U15" i="5"/>
  <c r="W22" i="5"/>
  <c r="AB23" i="5"/>
  <c r="AB24" i="5" s="1"/>
  <c r="W29" i="5"/>
  <c r="Q33" i="5"/>
  <c r="AC33" i="5"/>
  <c r="W30" i="5"/>
  <c r="Y42" i="5"/>
  <c r="Z52" i="5"/>
  <c r="U53" i="5"/>
  <c r="U55" i="5"/>
  <c r="P56" i="5"/>
  <c r="AB56" i="5"/>
  <c r="AB58" i="5"/>
  <c r="W59" i="5"/>
  <c r="X61" i="5"/>
  <c r="S62" i="5"/>
  <c r="S65" i="5"/>
  <c r="AB68" i="5"/>
  <c r="W69" i="5"/>
  <c r="P72" i="5"/>
  <c r="K22" i="5"/>
  <c r="K42" i="5"/>
  <c r="J53" i="5"/>
  <c r="Q15" i="5"/>
  <c r="Q32" i="5"/>
  <c r="P52" i="5"/>
  <c r="P61" i="5"/>
  <c r="S9" i="5"/>
  <c r="AC13" i="5"/>
  <c r="W15" i="5"/>
  <c r="X21" i="5"/>
  <c r="X29" i="5"/>
  <c r="R33" i="5"/>
  <c r="Z36" i="5"/>
  <c r="P42" i="5"/>
  <c r="W45" i="5"/>
  <c r="AC30" i="5"/>
  <c r="AA52" i="5"/>
  <c r="V55" i="5"/>
  <c r="Q56" i="5"/>
  <c r="AC56" i="5"/>
  <c r="AC58" i="5"/>
  <c r="X59" i="5"/>
  <c r="Y61" i="5"/>
  <c r="T62" i="5"/>
  <c r="T65" i="5"/>
  <c r="AC68" i="5"/>
  <c r="X69" i="5"/>
  <c r="Q72" i="5"/>
  <c r="AD7" i="5"/>
  <c r="AD38" i="5"/>
  <c r="AD58" i="5"/>
  <c r="L22" i="5"/>
  <c r="L36" i="5"/>
  <c r="L42" i="5"/>
  <c r="K53" i="5"/>
  <c r="P15" i="5"/>
  <c r="R32" i="5"/>
  <c r="Q52" i="5"/>
  <c r="R38" i="5"/>
  <c r="I22" i="5"/>
  <c r="Y22" i="5"/>
  <c r="Y29" i="5"/>
  <c r="S33" i="5"/>
  <c r="O36" i="5"/>
  <c r="AA32" i="5"/>
  <c r="R45" i="5"/>
  <c r="AB52" i="5"/>
  <c r="W53" i="5"/>
  <c r="W55" i="5"/>
  <c r="R56" i="5"/>
  <c r="N58" i="5"/>
  <c r="Y59" i="5"/>
  <c r="Z61" i="5"/>
  <c r="U62" i="5"/>
  <c r="U65" i="5"/>
  <c r="M22" i="5"/>
  <c r="L53" i="5"/>
  <c r="M59" i="5"/>
  <c r="J69" i="5"/>
  <c r="R15" i="5"/>
  <c r="O32" i="5"/>
  <c r="R52" i="5"/>
  <c r="X13" i="5"/>
  <c r="Z9" i="5"/>
  <c r="AB13" i="5"/>
  <c r="N23" i="5"/>
  <c r="N25" i="5" s="1"/>
  <c r="Z23" i="5"/>
  <c r="N30" i="5"/>
  <c r="Z29" i="5"/>
  <c r="T32" i="5"/>
  <c r="P36" i="5"/>
  <c r="AB35" i="5"/>
  <c r="W38" i="5"/>
  <c r="R42" i="5"/>
  <c r="I45" i="5"/>
  <c r="Y44" i="5"/>
  <c r="AC52" i="5"/>
  <c r="X55" i="5"/>
  <c r="S58" i="5"/>
  <c r="AA61" i="5"/>
  <c r="V65" i="5"/>
  <c r="N69" i="5"/>
  <c r="M53" i="5"/>
  <c r="J62" i="5"/>
  <c r="O35" i="5"/>
  <c r="E19" i="6"/>
  <c r="AA22" i="5"/>
  <c r="U33" i="5"/>
  <c r="Q36" i="5"/>
  <c r="W36" i="5"/>
  <c r="N52" i="5"/>
  <c r="Y55" i="5"/>
  <c r="T58" i="5"/>
  <c r="O59" i="5"/>
  <c r="AB61" i="5"/>
  <c r="W65" i="5"/>
  <c r="O69" i="5"/>
  <c r="AA69" i="5"/>
  <c r="K62" i="5"/>
  <c r="P35" i="5"/>
  <c r="F19" i="6"/>
  <c r="F40" i="6" s="1"/>
  <c r="Q62" i="5"/>
  <c r="Z13" i="5"/>
  <c r="P22" i="5"/>
  <c r="AB22" i="5"/>
  <c r="P30" i="5"/>
  <c r="AB30" i="5"/>
  <c r="R36" i="5"/>
  <c r="I39" i="5"/>
  <c r="T41" i="5"/>
  <c r="O45" i="5"/>
  <c r="I48" i="5"/>
  <c r="P59" i="5"/>
  <c r="S68" i="5"/>
  <c r="P69" i="5"/>
  <c r="AD44" i="5"/>
  <c r="AD65" i="5"/>
  <c r="L62" i="5"/>
  <c r="M69" i="5"/>
  <c r="Q35" i="5"/>
  <c r="G19" i="6"/>
  <c r="AD41" i="5"/>
  <c r="M45" i="5"/>
  <c r="Z15" i="5"/>
  <c r="S15" i="5"/>
  <c r="G5" i="8" s="1"/>
  <c r="Q22" i="5"/>
  <c r="AC22" i="5"/>
  <c r="W33" i="5"/>
  <c r="S35" i="5"/>
  <c r="N38" i="5"/>
  <c r="Z39" i="5"/>
  <c r="U42" i="5"/>
  <c r="P45" i="5"/>
  <c r="AC36" i="5"/>
  <c r="Q59" i="5"/>
  <c r="T68" i="5"/>
  <c r="Q69" i="5"/>
  <c r="AD23" i="5"/>
  <c r="AD25" i="5" s="1"/>
  <c r="AD45" i="5"/>
  <c r="M30" i="5"/>
  <c r="L45" i="5"/>
  <c r="L56" i="5"/>
  <c r="M62" i="5"/>
  <c r="R35" i="5"/>
  <c r="R44" i="5"/>
  <c r="H19" i="6"/>
  <c r="M56" i="5"/>
  <c r="T45" i="5"/>
  <c r="AC15" i="5"/>
  <c r="W21" i="5"/>
  <c r="R30" i="5"/>
  <c r="I33" i="5"/>
  <c r="T35" i="5"/>
  <c r="O39" i="5"/>
  <c r="Q45" i="5"/>
  <c r="AC44" i="5"/>
  <c r="P39" i="5"/>
  <c r="S48" i="5"/>
  <c r="N61" i="5"/>
  <c r="AD29" i="5"/>
  <c r="AD68" i="5"/>
  <c r="J33" i="5"/>
  <c r="P29" i="5"/>
  <c r="O38" i="5"/>
  <c r="I19" i="6"/>
  <c r="M33" i="5"/>
  <c r="S22" i="5"/>
  <c r="Y21" i="5"/>
  <c r="I36" i="5"/>
  <c r="U35" i="5"/>
  <c r="K33" i="5"/>
  <c r="J45" i="5"/>
  <c r="T21" i="5"/>
  <c r="AA21" i="5"/>
  <c r="T30" i="5"/>
  <c r="N32" i="5"/>
  <c r="Z32" i="5"/>
  <c r="Q39" i="5"/>
  <c r="AC39" i="5"/>
  <c r="X41" i="5"/>
  <c r="S45" i="5"/>
  <c r="L33" i="5"/>
  <c r="M39" i="5"/>
  <c r="R29" i="5"/>
  <c r="Q38" i="5"/>
  <c r="J46" i="5"/>
  <c r="J72" i="5" s="1"/>
  <c r="K46" i="5"/>
  <c r="P47" i="5" s="1"/>
  <c r="L46" i="5"/>
  <c r="L66" i="5" s="1"/>
  <c r="J23" i="5"/>
  <c r="J25" i="5" s="1"/>
  <c r="J30" i="5"/>
  <c r="K23" i="5"/>
  <c r="K25" i="5" s="1"/>
  <c r="K30" i="5"/>
  <c r="K39" i="5"/>
  <c r="K59" i="5"/>
  <c r="L23" i="5"/>
  <c r="L25" i="5" s="1"/>
  <c r="L30" i="5"/>
  <c r="L59" i="5"/>
  <c r="AD21" i="5"/>
  <c r="AD35" i="5"/>
  <c r="AD61" i="5"/>
  <c r="AD22" i="5"/>
  <c r="AD30" i="5"/>
  <c r="AD42" i="5"/>
  <c r="AD69" i="5"/>
  <c r="AA25" i="5"/>
  <c r="Y25" i="5"/>
  <c r="W25" i="5"/>
  <c r="AC25" i="5"/>
  <c r="Z25" i="5"/>
  <c r="T22" i="5"/>
  <c r="AB29" i="5"/>
  <c r="S32" i="5"/>
  <c r="V35" i="5"/>
  <c r="N36" i="5"/>
  <c r="AA36" i="5"/>
  <c r="T39" i="5"/>
  <c r="U41" i="5"/>
  <c r="O42" i="5"/>
  <c r="AA42" i="5"/>
  <c r="T46" i="5"/>
  <c r="T72" i="5" s="1"/>
  <c r="Z21" i="5"/>
  <c r="Q23" i="5"/>
  <c r="AB36" i="5"/>
  <c r="AC38" i="5"/>
  <c r="U39" i="5"/>
  <c r="V41" i="5"/>
  <c r="AB42" i="5"/>
  <c r="N39" i="5"/>
  <c r="U46" i="5"/>
  <c r="U66" i="5" s="1"/>
  <c r="N47" i="5"/>
  <c r="N29" i="5"/>
  <c r="U32" i="5"/>
  <c r="X33" i="5"/>
  <c r="Y35" i="5"/>
  <c r="W41" i="5"/>
  <c r="Q42" i="5"/>
  <c r="T44" i="5"/>
  <c r="X45" i="5"/>
  <c r="S47" i="5"/>
  <c r="AB21" i="5"/>
  <c r="Y33" i="5"/>
  <c r="Z35" i="5"/>
  <c r="W39" i="5"/>
  <c r="U44" i="5"/>
  <c r="Y45" i="5"/>
  <c r="AC45" i="5"/>
  <c r="W46" i="5"/>
  <c r="W72" i="5" s="1"/>
  <c r="AC21" i="5"/>
  <c r="X22" i="5"/>
  <c r="W32" i="5"/>
  <c r="Z33" i="5"/>
  <c r="S38" i="5"/>
  <c r="Z41" i="5"/>
  <c r="N45" i="5"/>
  <c r="N21" i="5"/>
  <c r="X30" i="5"/>
  <c r="X32" i="5"/>
  <c r="T36" i="5"/>
  <c r="T38" i="5"/>
  <c r="Y39" i="5"/>
  <c r="T42" i="5"/>
  <c r="AA45" i="5"/>
  <c r="Z46" i="5"/>
  <c r="Z72" i="5" s="1"/>
  <c r="Z74" i="5" s="1"/>
  <c r="N15" i="5"/>
  <c r="T23" i="5"/>
  <c r="AA35" i="5"/>
  <c r="X39" i="5"/>
  <c r="Y15" i="5"/>
  <c r="S21" i="5"/>
  <c r="N22" i="5"/>
  <c r="Z22" i="5"/>
  <c r="Y30" i="5"/>
  <c r="AB33" i="5"/>
  <c r="U36" i="5"/>
  <c r="U38" i="5"/>
  <c r="AA46" i="5"/>
  <c r="AA72" i="5" s="1"/>
  <c r="AA74" i="5" s="1"/>
  <c r="AC7" i="5"/>
  <c r="N33" i="5"/>
  <c r="V44" i="5"/>
  <c r="Y46" i="5"/>
  <c r="Y66" i="5" s="1"/>
  <c r="X48" i="5"/>
  <c r="S13" i="5"/>
  <c r="AB15" i="5"/>
  <c r="T15" i="5"/>
  <c r="Z30" i="5"/>
  <c r="AA39" i="5"/>
  <c r="U21" i="5"/>
  <c r="X23" i="5"/>
  <c r="O30" i="5"/>
  <c r="AA30" i="5"/>
  <c r="Z44" i="5"/>
  <c r="S44" i="5"/>
  <c r="O46" i="5"/>
  <c r="O66" i="5" s="1"/>
  <c r="X36" i="5"/>
  <c r="X42" i="5"/>
  <c r="Q30" i="5"/>
  <c r="T33" i="5"/>
  <c r="S41" i="5"/>
  <c r="X38" i="5"/>
  <c r="V14" i="5"/>
  <c r="V62" i="5" s="1"/>
  <c r="L17" i="8"/>
  <c r="K17" i="8"/>
  <c r="J17" i="8"/>
  <c r="G17" i="8"/>
  <c r="C12" i="8"/>
  <c r="C13" i="8" s="1"/>
  <c r="C9" i="8"/>
  <c r="C8" i="8"/>
  <c r="U5" i="8"/>
  <c r="U6" i="8" s="1"/>
  <c r="H3" i="8"/>
  <c r="H17" i="8" s="1"/>
  <c r="AD2" i="8"/>
  <c r="AA2" i="8"/>
  <c r="J69" i="6"/>
  <c r="K70" i="6" s="1"/>
  <c r="L70" i="6" s="1"/>
  <c r="M70" i="6" s="1"/>
  <c r="N70" i="6" s="1"/>
  <c r="N44" i="6"/>
  <c r="J44" i="6"/>
  <c r="N42" i="6"/>
  <c r="J42" i="6"/>
  <c r="E39" i="6"/>
  <c r="L38" i="6"/>
  <c r="M38" i="6" s="1"/>
  <c r="N38" i="6" s="1"/>
  <c r="K38" i="6"/>
  <c r="G57" i="6"/>
  <c r="F57" i="6"/>
  <c r="F28" i="6"/>
  <c r="E28" i="6"/>
  <c r="F18" i="6"/>
  <c r="F39" i="6" s="1"/>
  <c r="Q16" i="6"/>
  <c r="I16" i="6"/>
  <c r="U10" i="6"/>
  <c r="U11" i="6" s="1"/>
  <c r="U12" i="6" s="1"/>
  <c r="U13" i="6" s="1"/>
  <c r="U14" i="6" s="1"/>
  <c r="U15" i="6" s="1"/>
  <c r="W8" i="6"/>
  <c r="X8" i="6" s="1"/>
  <c r="Y8" i="6" s="1"/>
  <c r="Z8" i="6" s="1"/>
  <c r="AA8" i="6" s="1"/>
  <c r="F3" i="5"/>
  <c r="G3" i="5" s="1"/>
  <c r="F3" i="4"/>
  <c r="F4" i="4" s="1"/>
  <c r="B24" i="1"/>
  <c r="AF14" i="5" l="1"/>
  <c r="S20" i="1"/>
  <c r="AH11" i="5"/>
  <c r="AG54" i="5"/>
  <c r="AG57" i="5"/>
  <c r="AG51" i="5"/>
  <c r="AG52" i="5" s="1"/>
  <c r="S18" i="1"/>
  <c r="AH7" i="5"/>
  <c r="J21" i="8"/>
  <c r="H20" i="8"/>
  <c r="H21" i="8"/>
  <c r="AC24" i="5"/>
  <c r="W24" i="5"/>
  <c r="AC73" i="5"/>
  <c r="S144" i="5"/>
  <c r="K66" i="5"/>
  <c r="Q47" i="5"/>
  <c r="S74" i="5"/>
  <c r="P24" i="5"/>
  <c r="AH8" i="5"/>
  <c r="S24" i="5"/>
  <c r="AD48" i="5"/>
  <c r="AG15" i="5"/>
  <c r="AG37" i="5"/>
  <c r="AG38" i="5" s="1"/>
  <c r="AG20" i="5"/>
  <c r="AG34" i="5"/>
  <c r="AG35" i="5" s="1"/>
  <c r="AG31" i="5"/>
  <c r="AG32" i="5" s="1"/>
  <c r="N24" i="5"/>
  <c r="AH12" i="5"/>
  <c r="U18" i="1"/>
  <c r="AD66" i="5"/>
  <c r="E53" i="6"/>
  <c r="U20" i="1"/>
  <c r="I7" i="8"/>
  <c r="Z66" i="5"/>
  <c r="N144" i="5"/>
  <c r="F35" i="6"/>
  <c r="F63" i="6" s="1"/>
  <c r="F64" i="6" s="1"/>
  <c r="R66" i="5"/>
  <c r="V30" i="5"/>
  <c r="V16" i="5"/>
  <c r="W66" i="5"/>
  <c r="U72" i="5"/>
  <c r="U74" i="5" s="1"/>
  <c r="X144" i="5"/>
  <c r="H35" i="6"/>
  <c r="H63" i="6" s="1"/>
  <c r="J66" i="5"/>
  <c r="Z24" i="5"/>
  <c r="V59" i="5"/>
  <c r="AC144" i="5"/>
  <c r="I35" i="6"/>
  <c r="I63" i="6" s="1"/>
  <c r="AA66" i="5"/>
  <c r="R72" i="5"/>
  <c r="W73" i="5" s="1"/>
  <c r="G7" i="8"/>
  <c r="G8" i="8" s="1"/>
  <c r="G25" i="6"/>
  <c r="H7" i="8"/>
  <c r="H25" i="6"/>
  <c r="T66" i="5"/>
  <c r="G18" i="6"/>
  <c r="H18" i="6" s="1"/>
  <c r="H28" i="6" s="1"/>
  <c r="I28" i="6" s="1"/>
  <c r="J28" i="6" s="1"/>
  <c r="K28" i="6" s="1"/>
  <c r="L28" i="6" s="1"/>
  <c r="M28" i="6" s="1"/>
  <c r="N28" i="6" s="1"/>
  <c r="U24" i="5"/>
  <c r="AD24" i="5"/>
  <c r="Y72" i="5"/>
  <c r="AD73" i="5" s="1"/>
  <c r="V53" i="5"/>
  <c r="AB25" i="5"/>
  <c r="I20" i="8"/>
  <c r="C38" i="8" s="1"/>
  <c r="G21" i="8"/>
  <c r="I21" i="8"/>
  <c r="Y4" i="8"/>
  <c r="C10" i="8"/>
  <c r="C15" i="8" s="1"/>
  <c r="K21" i="8"/>
  <c r="W74" i="5"/>
  <c r="T74" i="5"/>
  <c r="Y73" i="5"/>
  <c r="Y74" i="5"/>
  <c r="X73" i="5"/>
  <c r="X74" i="5"/>
  <c r="R74" i="5"/>
  <c r="Z73" i="5"/>
  <c r="R25" i="5"/>
  <c r="R24" i="5"/>
  <c r="AD47" i="5"/>
  <c r="M48" i="5"/>
  <c r="R47" i="5"/>
  <c r="V36" i="5"/>
  <c r="O24" i="5"/>
  <c r="O48" i="5"/>
  <c r="O47" i="5"/>
  <c r="P74" i="5"/>
  <c r="P73" i="5"/>
  <c r="O72" i="5"/>
  <c r="T73" i="5" s="1"/>
  <c r="V69" i="5"/>
  <c r="V56" i="5"/>
  <c r="M72" i="5"/>
  <c r="M74" i="5" s="1"/>
  <c r="Q74" i="5"/>
  <c r="Q25" i="5"/>
  <c r="Q24" i="5"/>
  <c r="J70" i="6"/>
  <c r="S10" i="8"/>
  <c r="J74" i="5"/>
  <c r="J48" i="5"/>
  <c r="L48" i="5"/>
  <c r="L72" i="5"/>
  <c r="L74" i="5" s="1"/>
  <c r="K48" i="5"/>
  <c r="K72" i="5"/>
  <c r="K74" i="5" s="1"/>
  <c r="T25" i="5"/>
  <c r="T24" i="5"/>
  <c r="X24" i="5"/>
  <c r="X25" i="5"/>
  <c r="Z47" i="5"/>
  <c r="Z48" i="5"/>
  <c r="T47" i="5"/>
  <c r="T48" i="5"/>
  <c r="AA48" i="5"/>
  <c r="U47" i="5"/>
  <c r="U48" i="5"/>
  <c r="AA15" i="5"/>
  <c r="V15" i="5"/>
  <c r="V23" i="5"/>
  <c r="V46" i="5"/>
  <c r="V39" i="5"/>
  <c r="V45" i="5"/>
  <c r="V33" i="5"/>
  <c r="H46" i="6"/>
  <c r="H53" i="6" s="1"/>
  <c r="Y24" i="5"/>
  <c r="V22" i="5"/>
  <c r="W47" i="5"/>
  <c r="W48" i="5"/>
  <c r="V42" i="5"/>
  <c r="Y47" i="5"/>
  <c r="Y48" i="5"/>
  <c r="AE6" i="8"/>
  <c r="F60" i="6"/>
  <c r="F61" i="6" s="1"/>
  <c r="AE5" i="8"/>
  <c r="F20" i="6"/>
  <c r="G20" i="6"/>
  <c r="AE4" i="8"/>
  <c r="F30" i="6"/>
  <c r="F23" i="6"/>
  <c r="G30" i="6"/>
  <c r="K14" i="8"/>
  <c r="H5" i="8"/>
  <c r="H3" i="5"/>
  <c r="G4" i="5"/>
  <c r="G3" i="4"/>
  <c r="I20" i="6"/>
  <c r="I40" i="6"/>
  <c r="I64" i="6" s="1"/>
  <c r="I30" i="6"/>
  <c r="AB4" i="8"/>
  <c r="G46" i="6"/>
  <c r="G53" i="6" s="1"/>
  <c r="G23" i="6"/>
  <c r="F46" i="6"/>
  <c r="AB6" i="8"/>
  <c r="E57" i="6"/>
  <c r="E30" i="6"/>
  <c r="Y6" i="8"/>
  <c r="F4" i="5"/>
  <c r="H39" i="6"/>
  <c r="I18" i="6"/>
  <c r="F58" i="6"/>
  <c r="G20" i="8"/>
  <c r="H60" i="6"/>
  <c r="H33" i="6"/>
  <c r="H23" i="6"/>
  <c r="H57" i="6"/>
  <c r="H30" i="6"/>
  <c r="E63" i="6"/>
  <c r="E36" i="6"/>
  <c r="U7" i="8"/>
  <c r="H20" i="6"/>
  <c r="E40" i="6"/>
  <c r="F41" i="6" s="1"/>
  <c r="E23" i="6"/>
  <c r="H40" i="6"/>
  <c r="J14" i="8"/>
  <c r="G40" i="6"/>
  <c r="G41" i="6" s="1"/>
  <c r="Y5" i="8"/>
  <c r="AB5" i="8"/>
  <c r="L21" i="8"/>
  <c r="C24" i="8" s="1"/>
  <c r="I3" i="8"/>
  <c r="I17" i="8" s="1"/>
  <c r="AG23" i="5" l="1"/>
  <c r="AG25" i="5" s="1"/>
  <c r="AG21" i="5"/>
  <c r="S21" i="1"/>
  <c r="AH13" i="5"/>
  <c r="S19" i="1"/>
  <c r="U19" i="1" s="1"/>
  <c r="AH9" i="5"/>
  <c r="AF15" i="5"/>
  <c r="AF57" i="5"/>
  <c r="AH57" i="5" s="1"/>
  <c r="AF54" i="5"/>
  <c r="AH54" i="5" s="1"/>
  <c r="AF51" i="5"/>
  <c r="AF52" i="5" s="1"/>
  <c r="U73" i="5"/>
  <c r="U21" i="1"/>
  <c r="AH14" i="5"/>
  <c r="V72" i="5"/>
  <c r="AA73" i="5" s="1"/>
  <c r="V66" i="5"/>
  <c r="H9" i="8"/>
  <c r="AB38" i="5"/>
  <c r="R73" i="5"/>
  <c r="H36" i="6"/>
  <c r="G39" i="6"/>
  <c r="G28" i="6"/>
  <c r="G19" i="8"/>
  <c r="G18" i="8"/>
  <c r="H18" i="8"/>
  <c r="Q73" i="5"/>
  <c r="AA47" i="5"/>
  <c r="O74" i="5"/>
  <c r="O73" i="5"/>
  <c r="V47" i="5"/>
  <c r="V48" i="5"/>
  <c r="V25" i="5"/>
  <c r="V24" i="5"/>
  <c r="AA24" i="5"/>
  <c r="F36" i="6"/>
  <c r="F33" i="6"/>
  <c r="I33" i="6"/>
  <c r="H41" i="6"/>
  <c r="I61" i="6"/>
  <c r="H64" i="6"/>
  <c r="G33" i="6"/>
  <c r="G60" i="6"/>
  <c r="G61" i="6" s="1"/>
  <c r="I58" i="6"/>
  <c r="E64" i="6"/>
  <c r="E47" i="6"/>
  <c r="F47" i="6"/>
  <c r="F26" i="6"/>
  <c r="J18" i="6"/>
  <c r="I39" i="6"/>
  <c r="G47" i="6"/>
  <c r="I26" i="6"/>
  <c r="I19" i="8"/>
  <c r="G63" i="6"/>
  <c r="G64" i="6" s="1"/>
  <c r="G36" i="6"/>
  <c r="I5" i="8"/>
  <c r="I18" i="8"/>
  <c r="AB7" i="8"/>
  <c r="U8" i="8"/>
  <c r="AE7" i="8"/>
  <c r="Y7" i="8"/>
  <c r="G58" i="6"/>
  <c r="H47" i="6"/>
  <c r="F53" i="6"/>
  <c r="E60" i="6"/>
  <c r="E61" i="6" s="1"/>
  <c r="E33" i="6"/>
  <c r="G4" i="4"/>
  <c r="H3" i="4"/>
  <c r="H61" i="6"/>
  <c r="H26" i="6"/>
  <c r="E26" i="6"/>
  <c r="E58" i="6"/>
  <c r="H4" i="5"/>
  <c r="I12" i="8"/>
  <c r="H58" i="6"/>
  <c r="I41" i="6"/>
  <c r="AG24" i="5" l="1"/>
  <c r="AH51" i="5"/>
  <c r="AH52" i="5" s="1"/>
  <c r="V73" i="5"/>
  <c r="V74" i="5"/>
  <c r="AI14" i="5"/>
  <c r="J19" i="6"/>
  <c r="J35" i="6" s="1"/>
  <c r="J63" i="6" s="1"/>
  <c r="S22" i="1"/>
  <c r="J4" i="8"/>
  <c r="AH15" i="5"/>
  <c r="AD16" i="5"/>
  <c r="AB44" i="5"/>
  <c r="AB45" i="5"/>
  <c r="K36" i="6"/>
  <c r="R4" i="8"/>
  <c r="C32" i="8"/>
  <c r="G26" i="6"/>
  <c r="H8" i="8"/>
  <c r="H19" i="8"/>
  <c r="Y8" i="8"/>
  <c r="AE8" i="8"/>
  <c r="AB8" i="8"/>
  <c r="U9" i="8"/>
  <c r="I9" i="8"/>
  <c r="I8" i="8"/>
  <c r="J39" i="6"/>
  <c r="K18" i="6"/>
  <c r="H4" i="4"/>
  <c r="I3" i="4"/>
  <c r="J3" i="4" s="1"/>
  <c r="U22" i="1" l="1"/>
  <c r="T18" i="1"/>
  <c r="T20" i="1"/>
  <c r="T21" i="1"/>
  <c r="T19" i="1"/>
  <c r="AC48" i="5"/>
  <c r="J20" i="6"/>
  <c r="J40" i="6"/>
  <c r="J41" i="6" s="1"/>
  <c r="J33" i="6"/>
  <c r="J30" i="6"/>
  <c r="AI46" i="5"/>
  <c r="AI72" i="5" s="1"/>
  <c r="K19" i="6"/>
  <c r="K35" i="6" s="1"/>
  <c r="K63" i="6" s="1"/>
  <c r="AJ14" i="5"/>
  <c r="K4" i="8"/>
  <c r="K5" i="8" s="1"/>
  <c r="AB48" i="5"/>
  <c r="AB66" i="5"/>
  <c r="AB72" i="5"/>
  <c r="AB47" i="5"/>
  <c r="K39" i="6"/>
  <c r="L18" i="6"/>
  <c r="J4" i="4"/>
  <c r="K3" i="4"/>
  <c r="AE9" i="8"/>
  <c r="Y9" i="8"/>
  <c r="U10" i="8"/>
  <c r="AB9" i="8"/>
  <c r="J64" i="6" l="1"/>
  <c r="L19" i="6"/>
  <c r="L20" i="6" s="1"/>
  <c r="M20" i="6" s="1"/>
  <c r="N20" i="6" s="1"/>
  <c r="L4" i="8"/>
  <c r="L5" i="8" s="1"/>
  <c r="AJ46" i="5"/>
  <c r="K40" i="6"/>
  <c r="K41" i="6" s="1"/>
  <c r="K30" i="6"/>
  <c r="K33" i="6"/>
  <c r="K20" i="6"/>
  <c r="K22" i="6"/>
  <c r="AC47" i="5"/>
  <c r="I22" i="6"/>
  <c r="AB74" i="5"/>
  <c r="AB73" i="5"/>
  <c r="J5" i="8"/>
  <c r="AE10" i="8"/>
  <c r="Y10" i="8"/>
  <c r="AB10" i="8"/>
  <c r="U11" i="8"/>
  <c r="K18" i="8"/>
  <c r="K4" i="4"/>
  <c r="L3" i="4"/>
  <c r="L39" i="6"/>
  <c r="M18" i="6"/>
  <c r="L18" i="8" l="1"/>
  <c r="AI74" i="5"/>
  <c r="K25" i="6"/>
  <c r="K7" i="8"/>
  <c r="L22" i="6"/>
  <c r="L46" i="6" s="1"/>
  <c r="AJ72" i="5"/>
  <c r="K46" i="6"/>
  <c r="K23" i="6"/>
  <c r="M19" i="6"/>
  <c r="L40" i="6"/>
  <c r="L41" i="6" s="1"/>
  <c r="L33" i="6"/>
  <c r="M33" i="6" s="1"/>
  <c r="L35" i="6"/>
  <c r="L63" i="6" s="1"/>
  <c r="L64" i="6" s="1"/>
  <c r="L30" i="6"/>
  <c r="I46" i="6"/>
  <c r="I23" i="6"/>
  <c r="J58" i="6"/>
  <c r="L61" i="6"/>
  <c r="K61" i="6"/>
  <c r="J61" i="6"/>
  <c r="K58" i="6"/>
  <c r="M58" i="6"/>
  <c r="L58" i="6"/>
  <c r="K64" i="6"/>
  <c r="J18" i="8"/>
  <c r="U12" i="8"/>
  <c r="AB11" i="8"/>
  <c r="AE11" i="8"/>
  <c r="Y11" i="8"/>
  <c r="M39" i="6"/>
  <c r="N18" i="6"/>
  <c r="N39" i="6" s="1"/>
  <c r="M3" i="4"/>
  <c r="L4" i="4"/>
  <c r="M40" i="6" l="1"/>
  <c r="M41" i="6" s="1"/>
  <c r="N19" i="6"/>
  <c r="M30" i="6"/>
  <c r="N30" i="6" s="1"/>
  <c r="N29" i="6" s="1"/>
  <c r="N57" i="6" s="1"/>
  <c r="N58" i="6" s="1"/>
  <c r="M35" i="6"/>
  <c r="M63" i="6" s="1"/>
  <c r="M64" i="6" s="1"/>
  <c r="AJ73" i="5"/>
  <c r="AJ74" i="5"/>
  <c r="L7" i="8"/>
  <c r="L9" i="8" s="1"/>
  <c r="L25" i="6"/>
  <c r="L26" i="6" s="1"/>
  <c r="M32" i="6"/>
  <c r="M60" i="6" s="1"/>
  <c r="M61" i="6" s="1"/>
  <c r="N33" i="6"/>
  <c r="N32" i="6" s="1"/>
  <c r="N60" i="6" s="1"/>
  <c r="N61" i="6" s="1"/>
  <c r="L47" i="6"/>
  <c r="K47" i="6"/>
  <c r="I53" i="6"/>
  <c r="I47" i="6"/>
  <c r="K44" i="6"/>
  <c r="L44" i="6" s="1"/>
  <c r="M44" i="6" s="1"/>
  <c r="K42" i="6"/>
  <c r="L42" i="6" s="1"/>
  <c r="M42" i="6" s="1"/>
  <c r="AE12" i="8"/>
  <c r="U13" i="8"/>
  <c r="Y12" i="8"/>
  <c r="AB12" i="8"/>
  <c r="N3" i="4"/>
  <c r="M4" i="4"/>
  <c r="N40" i="6" l="1"/>
  <c r="N41" i="6" s="1"/>
  <c r="N35" i="6"/>
  <c r="N63" i="6" s="1"/>
  <c r="N64" i="6" s="1"/>
  <c r="O3" i="4"/>
  <c r="N4" i="4"/>
  <c r="AB13" i="8"/>
  <c r="Y13" i="8"/>
  <c r="AE13" i="8"/>
  <c r="U14" i="8"/>
  <c r="P3" i="4" l="1"/>
  <c r="O4" i="4"/>
  <c r="U15" i="8"/>
  <c r="AB14" i="8"/>
  <c r="AE14" i="8"/>
  <c r="Y14" i="8"/>
  <c r="K49" i="6"/>
  <c r="J48" i="6"/>
  <c r="J50" i="6"/>
  <c r="Q3" i="4" l="1"/>
  <c r="P4" i="4"/>
  <c r="S4" i="8"/>
  <c r="AE15" i="8"/>
  <c r="Y15" i="8"/>
  <c r="AB15" i="8"/>
  <c r="U16" i="8"/>
  <c r="R6" i="8" l="1"/>
  <c r="S6" i="8" s="1"/>
  <c r="C39" i="8"/>
  <c r="K26" i="6"/>
  <c r="AB16" i="8"/>
  <c r="U17" i="8"/>
  <c r="AE16" i="8"/>
  <c r="Y16" i="8"/>
  <c r="Q4" i="4"/>
  <c r="R3" i="4"/>
  <c r="K8" i="8" l="1"/>
  <c r="K19" i="8"/>
  <c r="R4" i="4"/>
  <c r="S3" i="4"/>
  <c r="C40" i="8"/>
  <c r="V1" i="8"/>
  <c r="AB17" i="8"/>
  <c r="AE17" i="8"/>
  <c r="Y17" i="8"/>
  <c r="U18" i="8"/>
  <c r="N50" i="6" l="1"/>
  <c r="K50" i="6" s="1"/>
  <c r="L50" i="6" s="1"/>
  <c r="M50" i="6" s="1"/>
  <c r="N48" i="6"/>
  <c r="K48" i="6" s="1"/>
  <c r="L48" i="6" s="1"/>
  <c r="M48" i="6" s="1"/>
  <c r="AB18" i="8"/>
  <c r="U19" i="8"/>
  <c r="AE18" i="8"/>
  <c r="Y18" i="8"/>
  <c r="W5" i="8"/>
  <c r="W8" i="8"/>
  <c r="W16" i="8"/>
  <c r="W14" i="8"/>
  <c r="W11" i="8"/>
  <c r="W13" i="8"/>
  <c r="W4" i="8"/>
  <c r="W18" i="8"/>
  <c r="W7" i="8"/>
  <c r="W17" i="8"/>
  <c r="W6" i="8"/>
  <c r="W15" i="8"/>
  <c r="W10" i="8"/>
  <c r="W12" i="8"/>
  <c r="W9" i="8"/>
  <c r="S4" i="4"/>
  <c r="X3" i="4"/>
  <c r="T3" i="4"/>
  <c r="L8" i="8"/>
  <c r="L19" i="8"/>
  <c r="U20" i="8" l="1"/>
  <c r="AB19" i="8"/>
  <c r="AE19" i="8"/>
  <c r="Y19" i="8"/>
  <c r="W19" i="8"/>
  <c r="T4" i="4"/>
  <c r="U3" i="4"/>
  <c r="AC3" i="4"/>
  <c r="X4" i="4"/>
  <c r="AH3" i="4" l="1"/>
  <c r="AC4" i="4"/>
  <c r="AE20" i="8"/>
  <c r="AB20" i="8"/>
  <c r="U21" i="8"/>
  <c r="Y20" i="8"/>
  <c r="W20" i="8"/>
  <c r="U4" i="4"/>
  <c r="V3" i="4"/>
  <c r="Y21" i="8" l="1"/>
  <c r="U22" i="8"/>
  <c r="AE21" i="8"/>
  <c r="AB21" i="8"/>
  <c r="W21" i="8"/>
  <c r="V4" i="4"/>
  <c r="W3" i="4"/>
  <c r="AH4" i="4"/>
  <c r="AJ3" i="4"/>
  <c r="AJ4" i="4" s="1"/>
  <c r="AE22" i="8" l="1"/>
  <c r="AB22" i="8"/>
  <c r="Y22" i="8"/>
  <c r="U23" i="8"/>
  <c r="W22" i="8"/>
  <c r="W4" i="4"/>
  <c r="Y3" i="4"/>
  <c r="Z3" i="4" l="1"/>
  <c r="Y4" i="4"/>
  <c r="U24" i="8"/>
  <c r="AE23" i="8"/>
  <c r="AB23" i="8"/>
  <c r="Y23" i="8"/>
  <c r="W23" i="8"/>
  <c r="AE24" i="8" l="1"/>
  <c r="AB24" i="8"/>
  <c r="Y24" i="8"/>
  <c r="U25" i="8"/>
  <c r="W24" i="8"/>
  <c r="AA3" i="4"/>
  <c r="Z4" i="4"/>
  <c r="U26" i="8" l="1"/>
  <c r="AE25" i="8"/>
  <c r="AB25" i="8"/>
  <c r="Y25" i="8"/>
  <c r="W25" i="8"/>
  <c r="AB3" i="4"/>
  <c r="AA4" i="4"/>
  <c r="AB4" i="4" l="1"/>
  <c r="AD3" i="4"/>
  <c r="U27" i="8"/>
  <c r="U28" i="8" s="1"/>
  <c r="U29" i="8" s="1"/>
  <c r="AE26" i="8"/>
  <c r="AB26" i="8"/>
  <c r="Y26" i="8"/>
  <c r="W26" i="8"/>
  <c r="AD4" i="4" l="1"/>
  <c r="AE3" i="4"/>
  <c r="AE27" i="8"/>
  <c r="Y27" i="8"/>
  <c r="AB27" i="8"/>
  <c r="W27" i="8"/>
  <c r="Y28" i="8" l="1"/>
  <c r="AE28" i="8"/>
  <c r="AB28" i="8"/>
  <c r="W28" i="8"/>
  <c r="AE4" i="4"/>
  <c r="AF3" i="4"/>
  <c r="AF4" i="4" l="1"/>
  <c r="AG3" i="4"/>
  <c r="Y29" i="8"/>
  <c r="U30" i="8"/>
  <c r="AB29" i="8"/>
  <c r="AE29" i="8"/>
  <c r="W29" i="8"/>
  <c r="AG4" i="4" l="1"/>
  <c r="AI3" i="4"/>
  <c r="AI4" i="4" s="1"/>
  <c r="AB30" i="8"/>
  <c r="Y30" i="8"/>
  <c r="U31" i="8"/>
  <c r="AE30" i="8"/>
  <c r="W30" i="8"/>
  <c r="AE31" i="8" l="1"/>
  <c r="AB31" i="8"/>
  <c r="Y31" i="8"/>
  <c r="U32" i="8"/>
  <c r="W31" i="8"/>
  <c r="AE32" i="8" l="1"/>
  <c r="AB32" i="8"/>
  <c r="Y32" i="8"/>
  <c r="U33" i="8"/>
  <c r="W32" i="8"/>
  <c r="U34" i="8" l="1"/>
  <c r="AE33" i="8"/>
  <c r="AB33" i="8"/>
  <c r="Y33" i="8"/>
  <c r="W33" i="8"/>
  <c r="U35" i="8" l="1"/>
  <c r="AE34" i="8"/>
  <c r="AB34" i="8"/>
  <c r="Y34" i="8"/>
  <c r="W34" i="8"/>
  <c r="U36" i="8" l="1"/>
  <c r="AE35" i="8"/>
  <c r="AB35" i="8"/>
  <c r="Y35" i="8"/>
  <c r="W35" i="8"/>
  <c r="U37" i="8" l="1"/>
  <c r="AE36" i="8"/>
  <c r="AB36" i="8"/>
  <c r="Y36" i="8"/>
  <c r="W36" i="8"/>
  <c r="Y37" i="8" l="1"/>
  <c r="U38" i="8"/>
  <c r="AE37" i="8"/>
  <c r="AB37" i="8"/>
  <c r="W37" i="8"/>
  <c r="AB38" i="8" l="1"/>
  <c r="Y38" i="8"/>
  <c r="U39" i="8"/>
  <c r="AE38" i="8"/>
  <c r="W38" i="8"/>
  <c r="AB39" i="8" l="1"/>
  <c r="Y39" i="8"/>
  <c r="U40" i="8"/>
  <c r="AE39" i="8"/>
  <c r="W39" i="8"/>
  <c r="AE40" i="8" l="1"/>
  <c r="AB40" i="8"/>
  <c r="Y40" i="8"/>
  <c r="U41" i="8"/>
  <c r="W40" i="8"/>
  <c r="AE41" i="8" l="1"/>
  <c r="AB41" i="8"/>
  <c r="Y41" i="8"/>
  <c r="U42" i="8"/>
  <c r="W41" i="8"/>
  <c r="U43" i="8" l="1"/>
  <c r="AE42" i="8"/>
  <c r="AB42" i="8"/>
  <c r="Y42" i="8"/>
  <c r="W42" i="8"/>
  <c r="U44" i="8" l="1"/>
  <c r="AE43" i="8"/>
  <c r="AB43" i="8"/>
  <c r="Y43" i="8"/>
  <c r="W43" i="8"/>
  <c r="U45" i="8" l="1"/>
  <c r="AE44" i="8"/>
  <c r="AB44" i="8"/>
  <c r="Y44" i="8"/>
  <c r="W44" i="8"/>
  <c r="U46" i="8" l="1"/>
  <c r="AE45" i="8"/>
  <c r="Y45" i="8"/>
  <c r="AB45" i="8"/>
  <c r="W45" i="8"/>
  <c r="Y46" i="8" l="1"/>
  <c r="U47" i="8"/>
  <c r="AB46" i="8"/>
  <c r="AE46" i="8"/>
  <c r="W46" i="8"/>
  <c r="AB47" i="8" l="1"/>
  <c r="Y47" i="8"/>
  <c r="AE47" i="8"/>
  <c r="U48" i="8"/>
  <c r="W47" i="8"/>
  <c r="AE48" i="8" l="1"/>
  <c r="AB48" i="8"/>
  <c r="Y48" i="8"/>
  <c r="W48" i="8"/>
  <c r="L22" i="1" l="1"/>
  <c r="I22" i="1"/>
  <c r="D8" i="1"/>
  <c r="I8" i="1"/>
  <c r="L8" i="1"/>
  <c r="D62" i="2" l="1"/>
  <c r="D61" i="2"/>
  <c r="D60" i="2"/>
  <c r="D59" i="2"/>
  <c r="D58" i="2"/>
  <c r="D57" i="2"/>
  <c r="D56" i="2"/>
  <c r="D55" i="2"/>
  <c r="D54" i="2"/>
  <c r="K53" i="2"/>
  <c r="J53" i="2"/>
  <c r="Q38" i="2"/>
  <c r="P38" i="2"/>
  <c r="C35" i="2"/>
  <c r="B22" i="2"/>
  <c r="B21" i="2"/>
  <c r="B20" i="2"/>
  <c r="B19" i="2"/>
  <c r="B18" i="2"/>
  <c r="B17" i="2"/>
  <c r="B16" i="2"/>
  <c r="B15" i="2"/>
  <c r="A15" i="2"/>
  <c r="A16" i="2" s="1"/>
  <c r="A17" i="2" s="1"/>
  <c r="A18" i="2" s="1"/>
  <c r="A19" i="2" s="1"/>
  <c r="A20" i="2" s="1"/>
  <c r="A21" i="2" s="1"/>
  <c r="A22" i="2" s="1"/>
  <c r="B14" i="2"/>
  <c r="A14" i="2"/>
  <c r="B13" i="2"/>
  <c r="B11" i="2"/>
  <c r="V9" i="2"/>
  <c r="U9" i="2"/>
  <c r="O9" i="2"/>
  <c r="N9" i="2"/>
  <c r="F40" i="2" l="1"/>
  <c r="G40" i="2" s="1"/>
  <c r="C14" i="2"/>
  <c r="F49" i="2"/>
  <c r="G49" i="2" s="1"/>
  <c r="AA24" i="2"/>
  <c r="H54" i="2"/>
  <c r="AC25" i="2"/>
  <c r="J30" i="2"/>
  <c r="J31" i="2" s="1"/>
  <c r="J32" i="2" s="1"/>
  <c r="E54" i="2"/>
  <c r="E55" i="2"/>
  <c r="E56" i="2"/>
  <c r="E57" i="2"/>
  <c r="E58" i="2"/>
  <c r="E59" i="2"/>
  <c r="E60" i="2"/>
  <c r="E61" i="2"/>
  <c r="E62" i="2"/>
  <c r="H58" i="2"/>
  <c r="P30" i="2"/>
  <c r="P31" i="2" s="1"/>
  <c r="P32" i="2" s="1"/>
  <c r="F54" i="2"/>
  <c r="F55" i="2"/>
  <c r="F56" i="2"/>
  <c r="F57" i="2"/>
  <c r="F58" i="2"/>
  <c r="F59" i="2"/>
  <c r="F60" i="2"/>
  <c r="F61" i="2"/>
  <c r="F62" i="2"/>
  <c r="R30" i="2"/>
  <c r="R31" i="2" s="1"/>
  <c r="R32" i="2" s="1"/>
  <c r="H57" i="2"/>
  <c r="K54" i="2"/>
  <c r="C11" i="2"/>
  <c r="C17" i="2"/>
  <c r="Y24" i="2"/>
  <c r="Q30" i="2"/>
  <c r="Q31" i="2" s="1"/>
  <c r="Q32" i="2" s="1"/>
  <c r="G54" i="2"/>
  <c r="G55" i="2"/>
  <c r="G56" i="2"/>
  <c r="G57" i="2"/>
  <c r="G58" i="2"/>
  <c r="G59" i="2"/>
  <c r="G60" i="2"/>
  <c r="G61" i="2"/>
  <c r="G62" i="2"/>
  <c r="H59" i="2"/>
  <c r="H60" i="2"/>
  <c r="H61" i="2"/>
  <c r="H62" i="2"/>
  <c r="I58" i="2"/>
  <c r="I59" i="2"/>
  <c r="I60" i="2"/>
  <c r="I61" i="2"/>
  <c r="I62" i="2"/>
  <c r="Z24" i="2"/>
  <c r="H56" i="2"/>
  <c r="I54" i="2"/>
  <c r="I55" i="2"/>
  <c r="I56" i="2"/>
  <c r="I57" i="2"/>
  <c r="AB24" i="2"/>
  <c r="F30" i="2" s="1"/>
  <c r="J55" i="2"/>
  <c r="J56" i="2"/>
  <c r="J57" i="2"/>
  <c r="J58" i="2"/>
  <c r="J59" i="2"/>
  <c r="J60" i="2"/>
  <c r="J61" i="2"/>
  <c r="J62" i="2"/>
  <c r="H55" i="2"/>
  <c r="K55" i="2"/>
  <c r="K56" i="2"/>
  <c r="K57" i="2"/>
  <c r="K59" i="2"/>
  <c r="K60" i="2"/>
  <c r="K61" i="2"/>
  <c r="K62" i="2"/>
  <c r="AC24" i="2"/>
  <c r="K58" i="2"/>
  <c r="O18" i="2"/>
  <c r="F46" i="2"/>
  <c r="G46" i="2" s="1"/>
  <c r="O21" i="2"/>
  <c r="C20" i="2"/>
  <c r="F44" i="2"/>
  <c r="G44" i="2" s="1"/>
  <c r="O20" i="2"/>
  <c r="F39" i="2"/>
  <c r="G39" i="2" s="1"/>
  <c r="F43" i="2"/>
  <c r="G43" i="2" s="1"/>
  <c r="F45" i="2"/>
  <c r="G45" i="2" s="1"/>
  <c r="O17" i="2"/>
  <c r="O22" i="2"/>
  <c r="F41" i="2"/>
  <c r="G41" i="2" s="1"/>
  <c r="F47" i="2"/>
  <c r="G47" i="2" s="1"/>
  <c r="N19" i="2"/>
  <c r="O14" i="2"/>
  <c r="N11" i="2"/>
  <c r="J54" i="2"/>
  <c r="N13" i="2"/>
  <c r="C13" i="2"/>
  <c r="O13" i="2"/>
  <c r="F42" i="2"/>
  <c r="G42" i="2" s="1"/>
  <c r="F48" i="2"/>
  <c r="O16" i="2"/>
  <c r="O19" i="2"/>
  <c r="X25" i="2"/>
  <c r="D31" i="2" s="1"/>
  <c r="Y25" i="2"/>
  <c r="C16" i="2"/>
  <c r="C22" i="2"/>
  <c r="N15" i="2"/>
  <c r="N21" i="2"/>
  <c r="Z25" i="2"/>
  <c r="E31" i="2" s="1"/>
  <c r="AA25" i="2"/>
  <c r="O11" i="2"/>
  <c r="C15" i="2"/>
  <c r="C18" i="2"/>
  <c r="C21" i="2"/>
  <c r="AB25" i="2"/>
  <c r="F31" i="2" s="1"/>
  <c r="C19" i="2"/>
  <c r="N14" i="2"/>
  <c r="N17" i="2"/>
  <c r="N20" i="2"/>
  <c r="X24" i="2"/>
  <c r="D30" i="2" s="1"/>
  <c r="D35" i="2"/>
  <c r="D19" i="2" s="1"/>
  <c r="V29" i="2"/>
  <c r="Z29" i="2" s="1"/>
  <c r="N16" i="2"/>
  <c r="N22" i="2"/>
  <c r="E30" i="2" l="1"/>
  <c r="V32" i="2"/>
  <c r="Z32" i="2" s="1"/>
  <c r="F64" i="2"/>
  <c r="F66" i="2" s="1"/>
  <c r="G64" i="2"/>
  <c r="G66" i="2" s="1"/>
  <c r="V31" i="2"/>
  <c r="Z31" i="2" s="1"/>
  <c r="V30" i="2"/>
  <c r="Z30" i="2" s="1"/>
  <c r="E64" i="2"/>
  <c r="E66" i="2" s="1"/>
  <c r="K64" i="2"/>
  <c r="K66" i="2" s="1"/>
  <c r="I64" i="2"/>
  <c r="I66" i="2" s="1"/>
  <c r="H64" i="2"/>
  <c r="H66" i="2" s="1"/>
  <c r="N18" i="2"/>
  <c r="O15" i="2"/>
  <c r="G48" i="2"/>
  <c r="D18" i="2"/>
  <c r="D15" i="2"/>
  <c r="D22" i="2"/>
  <c r="D21" i="2"/>
  <c r="D20" i="2"/>
  <c r="D17" i="2"/>
  <c r="D14" i="2"/>
  <c r="E35" i="2"/>
  <c r="D16" i="2"/>
  <c r="D11" i="2"/>
  <c r="D13" i="2"/>
  <c r="J64" i="2"/>
  <c r="J66" i="2" s="1"/>
  <c r="G67" i="2" l="1"/>
  <c r="F67" i="2"/>
  <c r="E20" i="2"/>
  <c r="E17" i="2"/>
  <c r="E14" i="2"/>
  <c r="F35" i="2"/>
  <c r="E13" i="2"/>
  <c r="E21" i="2"/>
  <c r="E15" i="2"/>
  <c r="E19" i="2"/>
  <c r="E11" i="2"/>
  <c r="E22" i="2"/>
  <c r="E16" i="2"/>
  <c r="E18" i="2"/>
  <c r="F20" i="2" l="1"/>
  <c r="G35" i="2"/>
  <c r="F17" i="2"/>
  <c r="F14" i="2"/>
  <c r="F22" i="2"/>
  <c r="F21" i="2"/>
  <c r="F15" i="2"/>
  <c r="F13" i="2"/>
  <c r="F19" i="2"/>
  <c r="F18" i="2"/>
  <c r="F16" i="2"/>
  <c r="F11" i="2"/>
  <c r="H35" i="2" l="1"/>
  <c r="I35" i="2" s="1"/>
  <c r="J35" i="2" s="1"/>
  <c r="K35" i="2" s="1"/>
  <c r="G11" i="2"/>
  <c r="G14" i="2"/>
  <c r="G17" i="2"/>
  <c r="G20" i="2"/>
  <c r="G22" i="2"/>
  <c r="G15" i="2"/>
  <c r="G19" i="2"/>
  <c r="G18" i="2"/>
  <c r="G21" i="2"/>
  <c r="G13" i="2"/>
  <c r="G16" i="2"/>
  <c r="L35" i="2" l="1"/>
  <c r="I14" i="2"/>
  <c r="I17" i="2"/>
  <c r="I19" i="2"/>
  <c r="I16" i="2"/>
  <c r="I21" i="2"/>
  <c r="I20" i="2"/>
  <c r="I13" i="2"/>
  <c r="I11" i="2"/>
  <c r="I22" i="2"/>
  <c r="I18" i="2"/>
  <c r="I15" i="2"/>
  <c r="M35" i="2" l="1"/>
  <c r="J11" i="2"/>
  <c r="J20" i="2"/>
  <c r="J17" i="2"/>
  <c r="J14" i="2"/>
  <c r="J22" i="2"/>
  <c r="J21" i="2"/>
  <c r="J18" i="2"/>
  <c r="J16" i="2"/>
  <c r="J13" i="2"/>
  <c r="J19" i="2"/>
  <c r="J15" i="2"/>
  <c r="Q19" i="2" l="1"/>
  <c r="U19" i="2"/>
  <c r="Q13" i="2"/>
  <c r="U13" i="2"/>
  <c r="Q21" i="2"/>
  <c r="U21" i="2"/>
  <c r="Q15" i="2"/>
  <c r="U15" i="2"/>
  <c r="Q16" i="2"/>
  <c r="U16" i="2"/>
  <c r="Q18" i="2"/>
  <c r="U18" i="2"/>
  <c r="Q22" i="2"/>
  <c r="U22" i="2"/>
  <c r="Q14" i="2"/>
  <c r="U14" i="2"/>
  <c r="Q11" i="2"/>
  <c r="U11" i="2"/>
  <c r="Q17" i="2"/>
  <c r="U17" i="2"/>
  <c r="K21" i="2"/>
  <c r="K11" i="2"/>
  <c r="H29" i="2" s="1"/>
  <c r="L29" i="2" s="1"/>
  <c r="T29" i="2" s="1"/>
  <c r="K14" i="2"/>
  <c r="N35" i="2"/>
  <c r="K20" i="2"/>
  <c r="K17" i="2"/>
  <c r="K15" i="2"/>
  <c r="K18" i="2"/>
  <c r="K13" i="2"/>
  <c r="K16" i="2"/>
  <c r="K19" i="2"/>
  <c r="K22" i="2"/>
  <c r="Q20" i="2"/>
  <c r="U20" i="2"/>
  <c r="R20" i="2" l="1"/>
  <c r="V20" i="2"/>
  <c r="R16" i="2"/>
  <c r="V16" i="2"/>
  <c r="R11" i="2"/>
  <c r="V11" i="2"/>
  <c r="R21" i="2"/>
  <c r="V21" i="2"/>
  <c r="Q24" i="2"/>
  <c r="Q25" i="2"/>
  <c r="R17" i="2"/>
  <c r="V17" i="2"/>
  <c r="O35" i="2"/>
  <c r="L15" i="2"/>
  <c r="L20" i="2"/>
  <c r="L17" i="2"/>
  <c r="L14" i="2"/>
  <c r="L21" i="2"/>
  <c r="L18" i="2"/>
  <c r="L11" i="2"/>
  <c r="L16" i="2"/>
  <c r="L19" i="2"/>
  <c r="L13" i="2"/>
  <c r="L22" i="2"/>
  <c r="R14" i="2"/>
  <c r="V14" i="2"/>
  <c r="R22" i="2"/>
  <c r="V22" i="2"/>
  <c r="R19" i="2"/>
  <c r="V19" i="2"/>
  <c r="U24" i="2"/>
  <c r="U25" i="2"/>
  <c r="R18" i="2"/>
  <c r="V18" i="2"/>
  <c r="R13" i="2"/>
  <c r="V13" i="2"/>
  <c r="R15" i="2"/>
  <c r="V15" i="2"/>
  <c r="S11" i="2" l="1"/>
  <c r="S18" i="2"/>
  <c r="S21" i="2"/>
  <c r="V24" i="2"/>
  <c r="V25" i="2"/>
  <c r="S17" i="2"/>
  <c r="R24" i="2"/>
  <c r="R25" i="2"/>
  <c r="S20" i="2"/>
  <c r="S14" i="2"/>
  <c r="S15" i="2"/>
  <c r="M20" i="2"/>
  <c r="M14" i="2"/>
  <c r="M17" i="2"/>
  <c r="M16" i="2"/>
  <c r="M15" i="2"/>
  <c r="M11" i="2"/>
  <c r="I29" i="2" s="1"/>
  <c r="M22" i="2"/>
  <c r="M13" i="2"/>
  <c r="M18" i="2"/>
  <c r="M21" i="2"/>
  <c r="M19" i="2"/>
  <c r="S22" i="2"/>
  <c r="S13" i="2"/>
  <c r="H30" i="2"/>
  <c r="X29" i="2"/>
  <c r="S19" i="2"/>
  <c r="S16" i="2"/>
  <c r="T13" i="2" l="1"/>
  <c r="T16" i="2"/>
  <c r="T17" i="2"/>
  <c r="T11" i="2"/>
  <c r="T15" i="2"/>
  <c r="H31" i="2"/>
  <c r="L30" i="2"/>
  <c r="T30" i="2" s="1"/>
  <c r="X30" i="2" s="1"/>
  <c r="S24" i="2"/>
  <c r="S25" i="2"/>
  <c r="T19" i="2"/>
  <c r="T22" i="2"/>
  <c r="T14" i="2"/>
  <c r="T20" i="2"/>
  <c r="T21" i="2"/>
  <c r="T18" i="2"/>
  <c r="H32" i="2" l="1"/>
  <c r="L32" i="2" s="1"/>
  <c r="T32" i="2" s="1"/>
  <c r="X32" i="2" s="1"/>
  <c r="L31" i="2"/>
  <c r="T31" i="2" s="1"/>
  <c r="X31" i="2" s="1"/>
  <c r="T24" i="2"/>
  <c r="T25" i="2"/>
  <c r="I30" i="2"/>
  <c r="M29" i="2"/>
  <c r="U29" i="2" s="1"/>
  <c r="Y29" i="2" s="1"/>
  <c r="I31" i="2" l="1"/>
  <c r="M30" i="2"/>
  <c r="U30" i="2" s="1"/>
  <c r="Y30" i="2" s="1"/>
  <c r="I32" i="2" l="1"/>
  <c r="M32" i="2" s="1"/>
  <c r="U32" i="2" s="1"/>
  <c r="Y32" i="2" s="1"/>
  <c r="M31" i="2"/>
  <c r="U31" i="2" s="1"/>
  <c r="Y31" i="2" s="1"/>
  <c r="Q24" i="1" l="1"/>
  <c r="N24" i="1"/>
  <c r="K24" i="1"/>
  <c r="H24" i="1"/>
  <c r="F24" i="1"/>
  <c r="D24" i="1"/>
  <c r="D22" i="1"/>
  <c r="D15" i="1"/>
  <c r="F22" i="1"/>
  <c r="F15" i="1"/>
  <c r="F8" i="1"/>
  <c r="I15" i="1"/>
  <c r="R22" i="1"/>
  <c r="R21" i="1"/>
  <c r="R20" i="1"/>
  <c r="R19" i="1"/>
  <c r="R18" i="1"/>
  <c r="R15" i="1"/>
  <c r="R14" i="1"/>
  <c r="R13" i="1"/>
  <c r="R12" i="1"/>
  <c r="R11" i="1"/>
  <c r="R8" i="1"/>
  <c r="R7" i="1"/>
  <c r="R6" i="1"/>
  <c r="R5" i="1"/>
  <c r="R4" i="1"/>
  <c r="O22" i="1"/>
  <c r="O21" i="1"/>
  <c r="O20" i="1"/>
  <c r="O19" i="1"/>
  <c r="O18" i="1"/>
  <c r="O15" i="1"/>
  <c r="O14" i="1"/>
  <c r="O13" i="1"/>
  <c r="O12" i="1"/>
  <c r="O11" i="1"/>
  <c r="O8" i="1"/>
  <c r="O7" i="1"/>
  <c r="O6" i="1"/>
  <c r="O5" i="1"/>
  <c r="O4" i="1"/>
  <c r="L21" i="1"/>
  <c r="L20" i="1"/>
  <c r="L19" i="1"/>
  <c r="L18" i="1"/>
  <c r="L15" i="1"/>
  <c r="L14" i="1"/>
  <c r="L13" i="1"/>
  <c r="L12" i="1"/>
  <c r="L11" i="1"/>
  <c r="L7" i="1"/>
  <c r="L6" i="1"/>
  <c r="L5" i="1"/>
  <c r="L4" i="1"/>
  <c r="AF37" i="5" l="1"/>
  <c r="AF38" i="5" s="1"/>
  <c r="AF34" i="5"/>
  <c r="AF35" i="5" s="1"/>
  <c r="AF20" i="5"/>
  <c r="AF31" i="5"/>
  <c r="AF32" i="5" s="1"/>
  <c r="AE23" i="5"/>
  <c r="AH31" i="5" l="1"/>
  <c r="AH32" i="5" s="1"/>
  <c r="AF23" i="5"/>
  <c r="AH23" i="5" s="1"/>
  <c r="AF21" i="5"/>
  <c r="AH37" i="5"/>
  <c r="AH38" i="5" s="1"/>
  <c r="AE43" i="5"/>
  <c r="AE46" i="5" s="1"/>
  <c r="AE60" i="5" s="1"/>
  <c r="AE62" i="5" s="1"/>
  <c r="AH34" i="5"/>
  <c r="AH35" i="5" s="1"/>
  <c r="AF25" i="5"/>
  <c r="AF24" i="5"/>
  <c r="AH24" i="5" l="1"/>
  <c r="AH25" i="5"/>
  <c r="C31" i="8" l="1"/>
  <c r="C33" i="8" s="1"/>
  <c r="R5" i="8"/>
  <c r="S5" i="8" s="1"/>
  <c r="U1" i="8" l="1"/>
  <c r="C34" i="8"/>
  <c r="V9" i="8" l="1"/>
  <c r="X9" i="8" s="1"/>
  <c r="V21" i="8"/>
  <c r="X21" i="8" s="1"/>
  <c r="V33" i="8"/>
  <c r="X33" i="8" s="1"/>
  <c r="V45" i="8"/>
  <c r="X45" i="8" s="1"/>
  <c r="V24" i="8"/>
  <c r="X24" i="8" s="1"/>
  <c r="V48" i="8"/>
  <c r="X48" i="8" s="1"/>
  <c r="V14" i="8"/>
  <c r="X14" i="8" s="1"/>
  <c r="V37" i="8"/>
  <c r="X37" i="8" s="1"/>
  <c r="V11" i="8"/>
  <c r="X11" i="8" s="1"/>
  <c r="V26" i="8"/>
  <c r="X26" i="8" s="1"/>
  <c r="V38" i="8"/>
  <c r="X38" i="8" s="1"/>
  <c r="V5" i="8"/>
  <c r="X5" i="8" s="1"/>
  <c r="V22" i="8"/>
  <c r="X22" i="8" s="1"/>
  <c r="V34" i="8"/>
  <c r="X34" i="8" s="1"/>
  <c r="V46" i="8"/>
  <c r="X46" i="8" s="1"/>
  <c r="V6" i="8"/>
  <c r="X6" i="8" s="1"/>
  <c r="V23" i="8"/>
  <c r="X23" i="8" s="1"/>
  <c r="V35" i="8"/>
  <c r="X35" i="8" s="1"/>
  <c r="V47" i="8"/>
  <c r="X47" i="8" s="1"/>
  <c r="V8" i="8"/>
  <c r="X8" i="8" s="1"/>
  <c r="V36" i="8"/>
  <c r="X36" i="8" s="1"/>
  <c r="V25" i="8"/>
  <c r="X25" i="8" s="1"/>
  <c r="V27" i="8"/>
  <c r="X27" i="8" s="1"/>
  <c r="V40" i="8"/>
  <c r="X40" i="8" s="1"/>
  <c r="V32" i="8"/>
  <c r="X32" i="8" s="1"/>
  <c r="V28" i="8"/>
  <c r="X28" i="8" s="1"/>
  <c r="V12" i="8"/>
  <c r="X12" i="8" s="1"/>
  <c r="V29" i="8"/>
  <c r="X29" i="8" s="1"/>
  <c r="V30" i="8"/>
  <c r="X30" i="8" s="1"/>
  <c r="V4" i="8"/>
  <c r="X4" i="8" s="1"/>
  <c r="V16" i="8"/>
  <c r="X16" i="8" s="1"/>
  <c r="V41" i="8"/>
  <c r="X41" i="8" s="1"/>
  <c r="V39" i="8"/>
  <c r="X39" i="8" s="1"/>
  <c r="V18" i="8"/>
  <c r="X18" i="8" s="1"/>
  <c r="V19" i="8"/>
  <c r="X19" i="8" s="1"/>
  <c r="V43" i="8"/>
  <c r="X43" i="8" s="1"/>
  <c r="V20" i="8"/>
  <c r="X20" i="8" s="1"/>
  <c r="V7" i="8"/>
  <c r="X7" i="8" s="1"/>
  <c r="V17" i="8"/>
  <c r="X17" i="8" s="1"/>
  <c r="V10" i="8"/>
  <c r="X10" i="8" s="1"/>
  <c r="V13" i="8"/>
  <c r="X13" i="8" s="1"/>
  <c r="V31" i="8"/>
  <c r="X31" i="8" s="1"/>
  <c r="V15" i="8"/>
  <c r="X15" i="8" s="1"/>
  <c r="V42" i="8"/>
  <c r="X42" i="8" s="1"/>
  <c r="V44" i="8"/>
  <c r="X44" i="8" s="1"/>
  <c r="L23" i="6"/>
  <c r="M23" i="6" s="1"/>
  <c r="L49" i="6" l="1"/>
  <c r="M22" i="6"/>
  <c r="M46" i="6" s="1"/>
  <c r="N23" i="6"/>
  <c r="M49" i="6"/>
  <c r="N22" i="6" l="1"/>
  <c r="N46" i="6" s="1"/>
  <c r="N49" i="6"/>
  <c r="M47" i="6"/>
  <c r="P72" i="6" l="1"/>
  <c r="R72" i="6" s="1"/>
  <c r="N72" i="6" s="1"/>
  <c r="N73" i="6" s="1"/>
  <c r="N47" i="6"/>
  <c r="AG28" i="5"/>
  <c r="AG29" i="5" s="1"/>
  <c r="AG43" i="5"/>
  <c r="AF28" i="5"/>
  <c r="AH28" i="5" s="1"/>
  <c r="AH29" i="5" s="1"/>
  <c r="AG47" i="5" l="1"/>
  <c r="AG45" i="5"/>
  <c r="AG44" i="5"/>
  <c r="AF29" i="5"/>
  <c r="AG48" i="5"/>
  <c r="AG60" i="5"/>
  <c r="AG62" i="5" s="1"/>
  <c r="AF43" i="5"/>
  <c r="AF45" i="5" l="1"/>
  <c r="AF44" i="5"/>
  <c r="AH43" i="5"/>
  <c r="AF46" i="5"/>
  <c r="AH44" i="5" l="1"/>
  <c r="AH45" i="5"/>
  <c r="AF48" i="5"/>
  <c r="AF47" i="5"/>
  <c r="AF60" i="5"/>
  <c r="AF62" i="5" s="1"/>
  <c r="AH72" i="5" l="1"/>
  <c r="AH60" i="5"/>
  <c r="AH66" i="5"/>
  <c r="AI66" i="5" s="1"/>
  <c r="J22" i="6"/>
  <c r="AH48" i="5"/>
  <c r="AH47" i="5"/>
  <c r="AI64" i="5" l="1"/>
  <c r="AJ66" i="5"/>
  <c r="AJ64" i="5" s="1"/>
  <c r="J46" i="6"/>
  <c r="J23" i="6"/>
  <c r="J49" i="6" s="1"/>
  <c r="AH67" i="5"/>
  <c r="AH62" i="5"/>
  <c r="AI62" i="5" s="1"/>
  <c r="J7" i="8"/>
  <c r="AH74" i="5"/>
  <c r="J25" i="6"/>
  <c r="J26" i="6" s="1"/>
  <c r="AI73" i="5"/>
  <c r="AH73" i="5"/>
  <c r="AJ62" i="5" l="1"/>
  <c r="AJ60" i="5" s="1"/>
  <c r="AJ67" i="5" s="1"/>
  <c r="AI60" i="5"/>
  <c r="AI67" i="5" s="1"/>
  <c r="AH77" i="5"/>
  <c r="AH78" i="5"/>
  <c r="J11" i="8" s="1"/>
  <c r="AH69" i="5"/>
  <c r="J8" i="8"/>
  <c r="J19" i="8"/>
  <c r="J9" i="8"/>
  <c r="K9" i="8"/>
  <c r="J47" i="6"/>
  <c r="J55" i="6"/>
  <c r="J66" i="6" s="1"/>
  <c r="J53" i="6"/>
  <c r="K53" i="6" s="1"/>
  <c r="K52" i="6" l="1"/>
  <c r="K55" i="6" s="1"/>
  <c r="K66" i="6" s="1"/>
  <c r="K67" i="6" s="1"/>
  <c r="L53" i="6"/>
  <c r="C18" i="8"/>
  <c r="C19" i="8" s="1"/>
  <c r="J67" i="6"/>
  <c r="AI77" i="5"/>
  <c r="AI69" i="5"/>
  <c r="AI78" i="5"/>
  <c r="K11" i="8" s="1"/>
  <c r="AA20" i="8"/>
  <c r="J20" i="8"/>
  <c r="AA39" i="8"/>
  <c r="AA48" i="8"/>
  <c r="AA35" i="8"/>
  <c r="AA28" i="8"/>
  <c r="AA17" i="8"/>
  <c r="AA7" i="8"/>
  <c r="AA4" i="8"/>
  <c r="AA33" i="8"/>
  <c r="AA11" i="8"/>
  <c r="AA30" i="8"/>
  <c r="AA19" i="8"/>
  <c r="AA26" i="8"/>
  <c r="AA18" i="8"/>
  <c r="AA21" i="8"/>
  <c r="AA16" i="8"/>
  <c r="AA22" i="8"/>
  <c r="AA8" i="8"/>
  <c r="AA47" i="8"/>
  <c r="AA44" i="8"/>
  <c r="AA24" i="8"/>
  <c r="AA32" i="8"/>
  <c r="AA14" i="8"/>
  <c r="AA41" i="8"/>
  <c r="AA29" i="8"/>
  <c r="AA23" i="8"/>
  <c r="AA38" i="8"/>
  <c r="AA43" i="8"/>
  <c r="AA13" i="8"/>
  <c r="AA9" i="8"/>
  <c r="AA37" i="8"/>
  <c r="AA31" i="8"/>
  <c r="AA10" i="8"/>
  <c r="AA36" i="8"/>
  <c r="AA5" i="8"/>
  <c r="AA27" i="8"/>
  <c r="AA45" i="8"/>
  <c r="AA46" i="8"/>
  <c r="AA34" i="8"/>
  <c r="J12" i="8"/>
  <c r="AA15" i="8"/>
  <c r="AA40" i="8"/>
  <c r="AA12" i="8"/>
  <c r="AA42" i="8"/>
  <c r="J15" i="8"/>
  <c r="AA6" i="8"/>
  <c r="AA25" i="8"/>
  <c r="AJ69" i="5"/>
  <c r="AJ78" i="5"/>
  <c r="L11" i="8" s="1"/>
  <c r="AJ77" i="5"/>
  <c r="AD13" i="8" l="1"/>
  <c r="K20" i="8"/>
  <c r="AD43" i="8"/>
  <c r="AD17" i="8"/>
  <c r="AD38" i="8"/>
  <c r="AD45" i="8"/>
  <c r="K12" i="8"/>
  <c r="AD21" i="8"/>
  <c r="AD28" i="8"/>
  <c r="AD34" i="8"/>
  <c r="AD5" i="8"/>
  <c r="AD37" i="8"/>
  <c r="AD18" i="8"/>
  <c r="AD46" i="8"/>
  <c r="AD31" i="8"/>
  <c r="AD12" i="8"/>
  <c r="AD44" i="8"/>
  <c r="AD10" i="8"/>
  <c r="AD26" i="8"/>
  <c r="AD20" i="8"/>
  <c r="AD40" i="8"/>
  <c r="AD22" i="8"/>
  <c r="K15" i="8"/>
  <c r="AD14" i="8"/>
  <c r="AD15" i="8"/>
  <c r="AD30" i="8"/>
  <c r="AD19" i="8"/>
  <c r="AD16" i="8"/>
  <c r="AD9" i="8"/>
  <c r="AD35" i="8"/>
  <c r="AD23" i="8"/>
  <c r="AD36" i="8"/>
  <c r="AD42" i="8"/>
  <c r="AD27" i="8"/>
  <c r="AD29" i="8"/>
  <c r="AD48" i="8"/>
  <c r="AD41" i="8"/>
  <c r="AD32" i="8"/>
  <c r="AD25" i="8"/>
  <c r="AD24" i="8"/>
  <c r="AD11" i="8"/>
  <c r="AD8" i="8"/>
  <c r="AD7" i="8"/>
  <c r="AD47" i="8"/>
  <c r="AD39" i="8"/>
  <c r="AD4" i="8"/>
  <c r="AD33" i="8"/>
  <c r="AD6" i="8"/>
  <c r="C20" i="8"/>
  <c r="AG2" i="8"/>
  <c r="C23" i="8"/>
  <c r="C25" i="8" s="1"/>
  <c r="L15" i="8"/>
  <c r="L12" i="8"/>
  <c r="L20" i="8"/>
  <c r="M53" i="6"/>
  <c r="L52" i="6"/>
  <c r="L55" i="6" s="1"/>
  <c r="L66" i="6" s="1"/>
  <c r="L67" i="6" s="1"/>
  <c r="C28" i="8" l="1"/>
  <c r="C27" i="8"/>
  <c r="C26" i="8"/>
  <c r="M52" i="6"/>
  <c r="M55" i="6" s="1"/>
  <c r="M66" i="6" s="1"/>
  <c r="M67" i="6" s="1"/>
  <c r="N53" i="6"/>
  <c r="N52" i="6" s="1"/>
  <c r="N55" i="6" s="1"/>
  <c r="N66" i="6" s="1"/>
  <c r="N67" i="6" s="1"/>
  <c r="AG41" i="8"/>
  <c r="AG7" i="8"/>
  <c r="AG21" i="8"/>
  <c r="AG9" i="8"/>
  <c r="AG18" i="8"/>
  <c r="AG29" i="8"/>
  <c r="AG45" i="8"/>
  <c r="AG37" i="8"/>
  <c r="AG39" i="8"/>
  <c r="AG15" i="8"/>
  <c r="AG26" i="8"/>
  <c r="AG17" i="8"/>
  <c r="AG6" i="8"/>
  <c r="AG34" i="8"/>
  <c r="AG27" i="8"/>
  <c r="AG20" i="8"/>
  <c r="AG4" i="8"/>
  <c r="AG32" i="8"/>
  <c r="AG42" i="8"/>
  <c r="AG8" i="8"/>
  <c r="AG33" i="8"/>
  <c r="AG44" i="8"/>
  <c r="AG22" i="8"/>
  <c r="AG47" i="8"/>
  <c r="AG14" i="8"/>
  <c r="AG38" i="8"/>
  <c r="AG40" i="8"/>
  <c r="AG46" i="8"/>
  <c r="AG31" i="8"/>
  <c r="AG12" i="8"/>
  <c r="AG13" i="8"/>
  <c r="AG35" i="8"/>
  <c r="AG43" i="8"/>
  <c r="AG36" i="8"/>
  <c r="AG19" i="8"/>
  <c r="AG25" i="8"/>
  <c r="AG28" i="8"/>
  <c r="AG11" i="8"/>
  <c r="AG16" i="8"/>
  <c r="AG5" i="8"/>
  <c r="AG23" i="8"/>
  <c r="AG24" i="8"/>
  <c r="AG48" i="8"/>
  <c r="AG30" i="8"/>
  <c r="AG10" i="8"/>
  <c r="N74" i="6" l="1"/>
  <c r="N77" i="6" s="1"/>
  <c r="N80" i="6" s="1"/>
  <c r="S11" i="8" s="1"/>
  <c r="S12" i="8" s="1"/>
  <c r="I4" i="6" l="1"/>
  <c r="I6" i="6"/>
  <c r="U8" i="6"/>
  <c r="L77" i="5"/>
  <c r="L31" i="4"/>
  <c r="M31" i="4"/>
  <c r="M77" i="5"/>
  <c r="M78" i="5"/>
  <c r="M32" i="4"/>
  <c r="L32" i="4"/>
  <c r="L78" i="5"/>
  <c r="B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kencu</author>
  </authors>
  <commentList>
    <comment ref="A1" authorId="0" shapeId="0" xr:uid="{30B374ED-AF3A-49DC-BCF0-4FB70FB839D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Timestamp="1722011496"&gt;&lt;FQL&gt;&lt;Q&gt;HTHT-US^FE_VALUATION(PE,MEAN,ANN,+2,NOW,,,'')&lt;/Q&gt;&lt;R&gt;1&lt;/R&gt;&lt;C&gt;1&lt;/C&gt;&lt;D xsi:type="xsd:double"&gt;14.342904&lt;/D&gt;&lt;/FQL&gt;&lt;FQL&gt;&lt;Q&gt;HTHT-US^FE_VALUATION(PE,MEAN,ANN,+1,NOW,,,'')&lt;/Q&gt;&lt;R&gt;1&lt;/R&gt;&lt;C&gt;1&lt;/C&gt;&lt;D xsi:type="xsd:double"&gt;16.640938&lt;/D&gt;&lt;/FQL&gt;&lt;FQL&gt;&lt;Q&gt;HTHT-US^FE_VALUATION(FFEV_EBITDA,MEAN,ANN,+2,NOW,,,'')&lt;/Q&gt;&lt;R&gt;1&lt;/R&gt;&lt;C&gt;1&lt;/C&gt;&lt;D xsi:type="xsd:double"&gt;12.480752&lt;/D&gt;&lt;/FQL&gt;&lt;FQL&gt;&lt;Q&gt;HTHT-US^FE_VALUATION(FFEV_EBITDA,MEAN,ANN,+1,NOW,,,'')&lt;/Q&gt;&lt;R&gt;1&lt;/R&gt;&lt;C&gt;1&lt;/C&gt;&lt;D xsi:type="xsd:double"&gt;14.032636&lt;/D&gt;&lt;/FQL&gt;&lt;FQL&gt;&lt;Q&gt;HTHT-US^FE_VALUATION(FFEV_SALES,MEAN,ANN,+2,NOW,,,'')&lt;/Q&gt;&lt;R&gt;1&lt;/R&gt;&lt;C&gt;1&lt;/C&gt;&lt;D xsi:type="xsd:double"&gt;3.8912575&lt;/D&gt;&lt;/FQL&gt;&lt;FQL&gt;&lt;Q&gt;HTHT-US^FE_VALUATION(FFEV_SALES,MEAN,ANN,+1,NOW,,,'')&lt;/Q&gt;&lt;R&gt;1&lt;/R&gt;&lt;C&gt;1&lt;/C&gt;&lt;D xsi:type="xsd:double"&gt;4.2089767&lt;/D&gt;&lt;/FQL&gt;&lt;FQL&gt;&lt;Q&gt;WH-US^FE_VALUATION(PE,MEAN,ANN,+2,NOW,,,'')&lt;/Q&gt;&lt;R&gt;1&lt;/R&gt;&lt;C&gt;1&lt;/C&gt;&lt;D xsi:type="xsd:double"&gt;16.352894&lt;/D&gt;&lt;/FQL&gt;&lt;FQL&gt;&lt;Q&gt;WH-US^FE_VALUATION(PE,MEAN,ANN,+1,NOW,,,'')&lt;/Q&gt;&lt;R&gt;1&lt;/R&gt;&lt;C&gt;1&lt;/C&gt;&lt;D xsi:type="xsd:double"&gt;17.915066&lt;/D&gt;&lt;/FQL&gt;&lt;FQL&gt;&lt;Q&gt;WH-US^FE_VALUATION(FFEV_EBITDA,MEAN,ANN,+2,NOW,,,'')&lt;/Q&gt;&lt;R&gt;1&lt;/R&gt;&lt;C&gt;1&lt;/C&gt;&lt;D xsi:type="xsd:double"&gt;11.960224&lt;/D&gt;&lt;/FQL&gt;&lt;FQL&gt;&lt;Q&gt;WH-US^FE_VALUATION(FFEV_EBITDA,MEAN,ANN,+1,NOW,,,'')&lt;/Q&gt;&lt;R&gt;1&lt;/R&gt;&lt;C&gt;1&lt;/C&gt;&lt;D xsi:type="xsd:double"&gt;12.534736&lt;/D&gt;&lt;/FQL&gt;&lt;FQL&gt;&lt;Q&gt;WH-US^FE_VALUATION(FFEV_SALES,MEAN,ANN,+2,NOW,,,'')&lt;/Q&gt;&lt;R&gt;1&lt;/R&gt;&lt;C&gt;1&lt;/C&gt;&lt;D xsi:type="xsd:double"&gt;5.764529&lt;/D&gt;&lt;/FQL&gt;&lt;FQL&gt;&lt;Q&gt;WH-US^FE_VALUATION(FFEV_SALES,MEAN,ANN,+1,NOW,,,'')&lt;/Q&gt;&lt;R&gt;1&lt;/R&gt;&lt;C&gt;1&lt;/C&gt;&lt;D xsi:type="xsd:double"&gt;6.0709887&lt;/D&gt;&lt;/FQL&gt;&lt;FQL&gt;&lt;Q&gt;HLT-US^FE_VALUATION(PE,MEAN,ANN,+2,NOW,,,'')&lt;/Q&gt;&lt;R&gt;1&lt;/R&gt;&lt;C&gt;1&lt;/C&gt;&lt;D xsi:type="xsd:double"&gt;26.266146&lt;/D&gt;&lt;/FQL&gt;&lt;FQL&gt;&lt;Q&gt;HLT-US^FE_VALUATION(PE,MEAN,ANN,+1,NOW,,,'')&lt;/Q&gt;&lt;R&gt;1&lt;/R&gt;&lt;C&gt;1&lt;/C&gt;&lt;D xsi:type="xsd:double"&gt;30.286312&lt;/D&gt;&lt;/FQL&gt;&lt;FQL&gt;&lt;Q&gt;HLT-US^FE_VALUATION(FFEV_EBITDA,MEAN,ANN,+2,NOW,,,'')&lt;/Q&gt;&lt;R&gt;1&lt;/R&gt;&lt;C&gt;1&lt;/C&gt;&lt;D xsi:type="xsd:double"&gt;17.81003&lt;/D&gt;&lt;/FQL&gt;&lt;FQL&gt;&lt;Q&gt;HLT-US^FE_VALUATION(FFEV_EBITDA,MEAN,ANN,+1,NOW,,,'')&lt;/Q&gt;&lt;R&gt;1&lt;/R&gt;&lt;C&gt;1&lt;/C&gt;&lt;D xsi:type="xsd:double"&gt;19.23661&lt;/D&gt;&lt;/FQL&gt;&lt;FQL&gt;&lt;Q&gt;HLT-US^FE_VALUATION(FFEV_SALES,MEAN,ANN,+2,NOW,,,'')&lt;/Q&gt;&lt;R&gt;1&lt;/R&gt;&lt;C&gt;1&lt;/C&gt;&lt;D xsi:type="xsd:double"&gt;5.3971214&lt;/D&gt;&lt;/FQL&gt;&lt;FQL&gt;&lt;Q&gt;HLT-US^FE_VALUATION(FFEV_SALES,MEAN,ANN,+1,NOW,,,'')&lt;/Q&gt;&lt;R&gt;1&lt;/R&gt;&lt;C&gt;1&lt;/C&gt;&lt;D xsi:type="xsd:double"&gt;5.8259034&lt;/D&gt;&lt;/FQL&gt;&lt;FQL&gt;&lt;Q&gt;MAR-US^FE_VALUATION(PE,MEAN,ANN,+2,NOW,,,'')&lt;/Q&gt;&lt;R&gt;1&lt;/R&gt;&lt;C&gt;1&lt;/C&gt;&lt;D xsi:type="xsd:double"&gt;21.841816&lt;/D&gt;&lt;/FQL&gt;&lt;FQL&gt;&lt;Q&gt;MAR-US^FE_VALUATION(PE,MEAN,ANN,+1,NOW,,,'')&lt;/Q&gt;&lt;R&gt;1&lt;/R&gt;&lt;C&gt;1&lt;/C&gt;&lt;D xsi:type="xsd:double"&gt;24.784384&lt;/D&gt;&lt;/FQL&gt;&lt;FQL&gt;&lt;Q&gt;MAR-US^FE_VALUATION(FFEV_EBITDA,MEAN,ANN,+2,NOW,,,'')&lt;/Q&gt;&lt;R&gt;1&lt;/R&gt;&lt;C&gt;1&lt;/C&gt;&lt;D xsi:type="xsd:double"&gt;15.558103&lt;/D&gt;&lt;/FQL&gt;&lt;FQL&gt;&lt;Q&gt;MAR-US^FE_VALUATION(FFEV_EBITDA,MEAN,ANN,+1,NOW,,,'')&lt;/Q&gt;&lt;R&gt;1&lt;/R&gt;&lt;C&gt;1&lt;/C&gt;&lt;D xsi:type="xsd:double"&gt;16.621908&lt;/D&gt;&lt;/FQL&gt;&lt;FQL&gt;&lt;Q&gt;MAR-US^FE_VALUATION(FFEV_SALES,MEAN,ANN,+2,NOW,,,'')&lt;/Q&gt;&lt;R&gt;1&lt;/R&gt;&lt;C&gt;1&lt;/C&gt;&lt;D xsi:type="xsd:double"&gt;3.1157951&lt;/D&gt;&lt;/FQL&gt;&lt;FQL&gt;&lt;Q&gt;MAR-US^FE_VALUATION(FFEV_SALES,MEAN,ANN,+1,NOW,,,'')&lt;/Q&gt;&lt;R&gt;1&lt;/R&gt;&lt;C&gt;1&lt;/C&gt;&lt;D xsi:type="xsd:double"&gt;3.2835302&lt;/D&gt;&lt;/FQL&gt;&lt;FQL&gt;&lt;Q&gt;TRIP-US^FE_VALUATION(PE,MEAN,ANN,+2,NOW,,,'')&lt;/Q&gt;&lt;R&gt;1&lt;/R&gt;&lt;C&gt;1&lt;/C&gt;&lt;D xsi:type="xsd:double"&gt;10.549843&lt;/D&gt;&lt;/FQL&gt;&lt;FQL&gt;&lt;Q&gt;TRIP-US^FE_VALUATION(PE,MEAN,ANN,+1,NOW,,,'')&lt;/Q&gt;&lt;R&gt;1&lt;/R&gt;&lt;C&gt;1&lt;/C&gt;&lt;D xsi:type="xsd:double"&gt;12.927448&lt;/D&gt;&lt;/FQL&gt;&lt;FQL&gt;&lt;Q&gt;TRIP-US^FE_VALUATION(FFEV_EBITDA,MEAN,ANN,+2,NOW,,,'')&lt;/Q&gt;&lt;R&gt;1&lt;/R&gt;&lt;C&gt;1&lt;/C&gt;&lt;D xsi:type="xsd:double"&gt;5.8280706&lt;/D&gt;&lt;/FQL&gt;&lt;FQL&gt;&lt;Q&gt;TRIP-US^FE_VALUATION(FFEV_EBITDA,MEAN,ANN,+1,NOW,,,'')&lt;/Q&gt;&lt;R&gt;1&lt;/R&gt;&lt;C&gt;1&lt;/C&gt;&lt;D xsi:type="xsd:double"&gt;6.54217&lt;/D&gt;&lt;/FQL&gt;&lt;FQL&gt;&lt;Q&gt;TRIP-US^FE_VALUATION(FFEV_SALES,MEAN,ANN,+2,NOW,,,'')&lt;/Q&gt;&lt;R&gt;1&lt;/R&gt;&lt;C&gt;1&lt;/C&gt;&lt;D xsi:type="xsd:double"&gt;1.1241076&lt;/D&gt;&lt;/FQL&gt;&lt;FQL&gt;&lt;Q&gt;TRIP-US^FE_VALUATION(FFEV_SALES,MEAN,ANN,+1,NOW,,,'')&lt;/Q&gt;&lt;R&gt;1&lt;/R&gt;&lt;C&gt;1&lt;/C&gt;&lt;D xsi:type="xsd:double"&gt;1.213453&lt;/D&gt;&lt;/FQL&gt;&lt;FQL&gt;&lt;Q&gt;BIDU-US^FE_VALUATION(PE,MEAN,ANN,+2,NOW,,,'')&lt;/Q&gt;&lt;R&gt;1&lt;/R&gt;&lt;C&gt;1&lt;/C&gt;&lt;D xsi:type="xsd:double"&gt;7.5943937&lt;/D&gt;&lt;/FQL&gt;&lt;FQL&gt;&lt;Q&gt;BIDU-US^FE_VALUATION(PE,MEAN,ANN,+1,NOW,,,'')&lt;/Q&gt;&lt;R&gt;1&lt;/R&gt;&lt;C&gt;1&lt;/C&gt;&lt;D xsi:type="xsd:double"&gt;7.9813504&lt;/D&gt;&lt;/FQL&gt;&lt;FQL&gt;&lt;Q&gt;BIDU-US^FE_VALUATION(FFEV_EBITDA,MEAN,ANN,+2,NOW,,,'')&lt;/Q&gt;&lt;R&gt;1&lt;/R&gt;&lt;C&gt;1&lt;/C&gt;&lt;D xsi:type="xsd:double"&gt;3.89916&lt;/D&gt;&lt;/FQL&gt;&lt;FQL&gt;&lt;Q&gt;BIDU-US^FE_VALUATION(FFEV_EBITDA,MEAN,ANN,+1,NOW,,,'')&lt;/Q&gt;&lt;R&gt;1&lt;/R&gt;&lt;C&gt;1&lt;/C&gt;&lt;D xsi:type="xsd:double"&gt;4.188718&lt;/D&gt;&lt;/FQL&gt;&lt;FQL&gt;&lt;Q&gt;BIDU-US^FE_VALUATION(FFEV_SALES,MEAN,ANN,+2,NOW,,,'')&lt;/Q&gt;&lt;R&gt;1&lt;/R&gt;&lt;C&gt;1&lt;/C&gt;&lt;D xsi:type="xsd:double"&gt;0.96827877&lt;/D&gt;&lt;/FQL&gt;&lt;FQL&gt;&lt;Q&gt;BIDU-US^FE_VALUATION(FFEV_SALES,MEAN,ANN,+1,NOW,,,'')&lt;/Q&gt;&lt;R&gt;1&lt;/R&gt;&lt;C&gt;1&lt;/C&gt;&lt;D xsi:type="xsd:double"&gt;1.0297449&lt;/D&gt;&lt;/FQL&gt;&lt;FQL&gt;&lt;Q&gt;GOOG-US^FE_VALUATION(PE,MEAN,ANN,+2,NOW,,,'')&lt;/Q&gt;&lt;R&gt;1&lt;/R&gt;&lt;C&gt;1&lt;/C&gt;&lt;D xsi:type="xsd:double"&gt;19.401619&lt;/D&gt;&lt;/FQL&gt;&lt;FQL&gt;&lt;Q&gt;GOOG-US^FE_VALUATION(PE,MEAN,ANN,+1,NOW,,,'')&lt;/Q&gt;&lt;R&gt;1&lt;/R&gt;&lt;C&gt;1&lt;/C&gt;&lt;D xsi:type="xsd:double"&gt;22.059328&lt;/D&gt;&lt;/FQL&gt;&lt;FQL&gt;&lt;Q&gt;GOOG-US^FE_VALUATION(FFEV_EBITDA,MEAN,ANN,+2,NOW,,,'')&lt;/Q&gt;&lt;R&gt;1&lt;/R&gt;&lt;C&gt;1&lt;/C&gt;&lt;D xsi:type="xsd:double"&gt;12.154863&lt;/D&gt;&lt;/FQL&gt;&lt;FQL&gt;&lt;Q&gt;GOOG-US^FE_VALUATION(FFEV_EBITDA,MEAN,ANN,+1,NOW,,,'')&lt;/Q&gt;&lt;R&gt;1&lt;/R&gt;&lt;C&gt;1&lt;/C&gt;&lt;D xsi:type="xsd:double"&gt;13.837112&lt;/D&gt;&lt;/FQL&gt;&lt;FQL&gt;&lt;Q&gt;GOOG-US^FE_VALUATION(FFEV_SALES,MEAN,ANN,+2,NOW,,,'')&lt;/Q&gt;&lt;R&gt;1&lt;/R&gt;&lt;C&gt;1&lt;/C&gt;&lt;D xsi:type="xsd:double"&gt;5.282357&lt;/D&gt;&lt;/FQL&gt;&lt;FQL&gt;&lt;Q&gt;GOOG-US^FE_VALUATION(FFEV_SALES,MEAN,ANN,+1,NOW,,,'')&lt;/Q&gt;&lt;R&gt;1&lt;/R&gt;&lt;C&gt;1&lt;/C&gt;&lt;D xsi:type="xsd:double"&gt;5.867104&lt;/D&gt;&lt;/FQL&gt;&lt;FQL&gt;&lt;Q&gt;TCOM-US^FE_VALUATION(PE,MEAN,ANN,+2,NOW,,,'')&lt;/Q&gt;&lt;R&gt;1&lt;/R&gt;&lt;C&gt;1&lt;/C&gt;&lt;D xsi:type="xsd:double"&gt;12.464879&lt;/D&gt;&lt;/FQL&gt;&lt;FQL&gt;&lt;Q&gt;TCOM-US^FE_VALUATION(PE,MEAN,ANN,+1,NOW,,,'')&lt;/Q&gt;&lt;R&gt;1&lt;/R&gt;&lt;C&gt;1&lt;/C&gt;&lt;D xsi:type="xsd:double"&gt;14.2362175&lt;/D&gt;&lt;/FQL&gt;&lt;FQL&gt;&lt;Q&gt;TCOM-US^FE_VALUATION(FFEV_EBITDA,MEAN,ANN,+2,NOW,,,'')&lt;/Q&gt;&lt;R&gt;1&lt;/R&gt;&lt;C&gt;1&lt;/C&gt;&lt;D xsi:type="xsd:double"&gt;10.179857&lt;/D&gt;&lt;/FQL&gt;&lt;FQL&gt;&lt;Q&gt;TCOM-US^FE_VALUATION(FFEV_EBITDA,MEAN,ANN,+1,NOW,,,'')&lt;/Q&gt;&lt;R&gt;1&lt;/R&gt;&lt;C&gt;1&lt;/C&gt;&lt;D xsi:type="xsd:double"&gt;11.742133&lt;/D&gt;&lt;/FQL&gt;&lt;FQL&gt;&lt;Q&gt;TCOM-US^FE_VALUATION(FFEV_SALES,MEAN,ANN,+2,NOW,,,'')&lt;/Q&gt;&lt;R&gt;1&lt;/R&gt;&lt;C&gt;1&lt;/C&gt;&lt;D xsi:type="xsd:double"&gt;3.0780694&lt;/D&gt;&lt;/FQL&gt;&lt;FQL&gt;&lt;Q&gt;TCOM-US^FE_VALUATION(FFEV_SALES,MEAN,ANN,+1,NOW,,,'')&lt;/Q&gt;&lt;R&gt;1&lt;/R&gt;&lt;C&gt;1&lt;/C&gt;&lt;D xsi:type="xsd:double"&gt;3.559571&lt;/D&gt;&lt;/FQL&gt;&lt;FQL&gt;&lt;Q&gt;EXPE-US^FE_VALUATION(PE,MEAN,ANN,+2,NOW,,,'')&lt;/Q&gt;&lt;R&gt;1&lt;/R&gt;&lt;C&gt;1&lt;/C&gt;&lt;D xsi:type="xsd:double"&gt;8.695115&lt;/D&gt;&lt;/FQL&gt;&lt;FQL&gt;&lt;Q&gt;EXPE-US^FE_VALUATION(PE,MEAN,ANN,+1,NOW,,,'')&lt;/Q&gt;&lt;R&gt;1&lt;/R&gt;&lt;C&gt;1&lt;/C&gt;&lt;D xsi:type="xsd:double"&gt;10.874353&lt;/D&gt;&lt;/FQL&gt;&lt;FQL&gt;&lt;Q&gt;EXPE-US^FE_VALUATION(FFEV_EBITDA,MEAN,ANN,+2,NOW,,,'')&lt;/Q&gt;&lt;R&gt;1&lt;/R&gt;&lt;C&gt;1&lt;/C&gt;&lt;D xsi:type="xsd:double"&gt;5.8025613&lt;/D&gt;&lt;/FQL&gt;&lt;FQL&gt;&lt;Q&gt;EXPE-US^FE_VALUATION(FFEV_EBITDA,MEAN,ANN,+1,NOW,,,'')&lt;/Q&gt;&lt;R&gt;1&lt;/R&gt;&lt;C&gt;1&lt;/C&gt;&lt;D xsi:type="xsd:double"&gt;6.444993&lt;/D&gt;&lt;/FQL&gt;&lt;FQL&gt;&lt;Q&gt;EXPE-US^FE_VALUATION(FFEV_SALES,MEAN,ANN,+2,NOW,,,'')&lt;/Q&gt;&lt;R&gt;1&lt;/R&gt;&lt;C&gt;1&lt;/C&gt;&lt;D xsi:type="xsd:double"&gt;1.2502218&lt;/D&gt;&lt;/FQL&gt;&lt;FQL&gt;&lt;Q&gt;EXPE-US^FE_VALUATION(FFEV_SALES,MEAN,ANN,+1,NOW,,,'')&lt;/Q&gt;&lt;R&gt;1&lt;/R&gt;&lt;C&gt;1&lt;/C&gt;&lt;D xsi:type="xsd:double"&gt;1.3476086&lt;/D&gt;&lt;/FQL&gt;&lt;FQL&gt;&lt;Q&gt;BKNG-US^FE_VALUATION(PE,MEAN,ANN,+2,NOW,,,'')&lt;/Q&gt;&lt;R&gt;1&lt;/R&gt;&lt;C&gt;1&lt;/C&gt;&lt;D xsi:type="xsd:double"&gt;18.006693&lt;/D&gt;&lt;/FQL&gt;&lt;FQL&gt;&lt;Q&gt;BKNG-US^FE_VALUATION(PE,MEAN,ANN,+1,NOW,,,'')&lt;/Q&gt;&lt;R&gt;1&lt;/R&gt;&lt;C&gt;1&lt;/C&gt;&lt;D xsi:type="xsd:double"&gt;20.939722&lt;/D&gt;&lt;/FQL&gt;&lt;FQL&gt;&lt;Q&gt;BKNG-US^FE_VALUATION(FFEV_EBITDA,MEAN,ANN,+2,NOW,,,'')&lt;/Q&gt;&lt;R&gt;1&lt;/R&gt;&lt;C&gt;1&lt;/C&gt;&lt;D xsi:type="xsd:double"&gt;14.98236&lt;/D&gt;&lt;/FQL&gt;&lt;FQL&gt;&lt;Q&gt;BKNG-US^FE_VALUATION(FFEV_EBITDA,MEAN,ANN,+1,NOW,,,'')&lt;/Q&gt;&lt;R&gt;1&lt;/R&gt;&lt;C&gt;1&lt;/C&gt;&lt;D xsi:type="xsd:double"&gt;16.90352&lt;/D&gt;&lt;/FQL&gt;&lt;FQL&gt;&lt;Q&gt;BKNG-US^FE_VALUATION(FFEV_SALES,MEAN,ANN,+2,NOW,,,'')&lt;/Q&gt;&lt;R&gt;1&lt;/R&gt;&lt;C&gt;1&lt;/C&gt;&lt;D xsi:type="xsd:double"&gt;5.298046&lt;/D&gt;&lt;/FQL&gt;&lt;FQL&gt;&lt;Q&gt;BKNG-US^FE_VALUATION(FFEV_SALES,MEAN,ANN,+1,NOW,,,'')&lt;/Q&gt;&lt;R&gt;1&lt;/R&gt;&lt;C&gt;1&lt;/C&gt;&lt;D xsi:type="xsd:double"&gt;5.7608986&lt;/D&gt;&lt;/FQL&gt;&lt;FQL&gt;&lt;Q&gt;ABNB-US^FE_VALUATION(PE,MEAN,ANN,+2,NOW,,,'')&lt;/Q&gt;&lt;R&gt;1&lt;/R&gt;&lt;C&gt;1&lt;/C&gt;&lt;D xsi:type="xsd:double"&gt;27.300552&lt;/D&gt;&lt;/FQL&gt;&lt;FQL&gt;&lt;Q&gt;ABNB-US^FE_VALUATION(PE,MEAN,ANN,+1,NOW,,,'')&lt;/Q&gt;&lt;R&gt;1&lt;/R&gt;&lt;C&gt;1&lt;/C&gt;&lt;D xsi:type="xsd:double"&gt;30.868246&lt;/D&gt;&lt;/FQL&gt;&lt;FQL&gt;&lt;Q&gt;ABNB-US^FE_VALUATION(FFEV_EBITDA,MEAN,ANN,+2,NOW,,,'')&lt;/Q&gt;&lt;R&gt;1&lt;/R&gt;&lt;C&gt;1&lt;/C&gt;&lt;D xsi:type="xsd:double"&gt;17.706608&lt;/D&gt;&lt;/FQL&gt;&lt;FQL&gt;&lt;Q&gt;ABNB-US^FE_VALUATION(FFEV_EBITDA,MEAN,ANN,+1,NOW,,,'')&lt;/Q&gt;&lt;R&gt;1&lt;/R&gt;&lt;C&gt;1&lt;/C&gt;&lt;D xsi:type="xsd:double"&gt;20.391556&lt;/D&gt;&lt;/FQL&gt;&lt;FQL&gt;&lt;Q&gt;ABNB-US^FE_VALUATION(FFEV_SALES,MEAN,ANN,+2,NOW,,,'')&lt;/Q&gt;&lt;R&gt;1&lt;/R&gt;&lt;C&gt;1&lt;/C&gt;&lt;D xsi:type="xsd:double"&gt;6.630819&lt;/D&gt;&lt;/FQL&gt;&lt;FQL&gt;&lt;Q&gt;ABNB-US^FE_VALUATION(FFEV_SALES,MEAN,ANN,+1,NOW,,,'')&lt;/Q&gt;&lt;R&gt;1&lt;/R&gt;&lt;C&gt;1&lt;/C&gt;&lt;D xsi:type="xsd:double"&gt;7.404787&lt;/D&gt;&lt;/FQL&gt;&lt;FQL&gt;&lt;Q&gt;ABNB-US^FREF_SHARES_COMPANY(0,,,,0,"LEGACY")&lt;/Q&gt;&lt;R&gt;1&lt;/R&gt;&lt;C&gt;1&lt;/C&gt;&lt;D xsi:type="xsd:double"&gt;441.500396728516&lt;/D&gt;&lt;/FQL&gt;&lt;FQL&gt;&lt;Q&gt;ABNB-US^FF_DEBT(QTR_R,0)&lt;/Q&gt;&lt;R&gt;1&lt;/R&gt;&lt;C&gt;1&lt;/C&gt;&lt;D xsi:type="xsd:double"&gt;2290&lt;/D&gt;&lt;/FQL&gt;&lt;FQL&gt;&lt;Q&gt;ABNB-US^FF_CASH_ST(QTR_R,0)&lt;/Q&gt;&lt;R&gt;1&lt;/R&gt;&lt;C&gt;1&lt;/C&gt;&lt;D xsi:type="xsd:double"&gt;11128&lt;/D&gt;&lt;/FQL&gt;&lt;FQL&gt;&lt;Q&gt;HTHT-US^FF_NET_INC(ANN_R,0Y,,,,USD)&lt;/Q&gt;&lt;R&gt;1&lt;/R&gt;&lt;C&gt;1&lt;/C&gt;&lt;D xsi:type="xsd:double"&gt;576.567891405353&lt;/D&gt;&lt;/FQL&gt;&lt;FQL&gt;&lt;Q&gt;HTHT-US^FF_NET_INC(ANN_R,-1AY,,,,USD)&lt;/Q&gt;&lt;R&gt;1&lt;/R&gt;&lt;C&gt;1&lt;/C&gt;&lt;D xsi:type="xsd:double"&gt;-270.430257741593&lt;/D&gt;&lt;/FQL&gt;&lt;FQL&gt;&lt;Q&gt;HTHT-US^FF_EBITDA_OPER(ANN_R,0Y,,,,USD)&lt;/Q&gt;&lt;R&gt;1&lt;/R&gt;&lt;C&gt;1&lt;/C&gt;&lt;D xsi:type="xsd:double"&gt;805.0779&lt;/D&gt;&lt;/FQL&gt;&lt;FQL&gt;&lt;Q&gt;HTHT-US^FF_EBITDA_OPER(ANN_R,-1AY,,,,USD)&lt;/Q&gt;&lt;R&gt;1&lt;/R&gt;&lt;C&gt;1&lt;/C&gt;&lt;D xsi:type="xsd:double"&gt;108.1127&lt;/D&gt;&lt;/FQL&gt;&lt;FQL&gt;&lt;Q&gt;HTHT-US^FF_SALES(ANN_R,0Y,,,,USD)&lt;/Q&gt;&lt;R&gt;1&lt;/R&gt;&lt;C&gt;1&lt;/C&gt;&lt;D xsi:type="xsd:double"&gt;3088.48435733952&lt;/D&gt;&lt;/FQL&gt;&lt;FQL&gt;&lt;Q&gt;HTHT-US^FF_SALES(ANN_R,-1AY,,,,USD)&lt;/Q&gt;&lt;R&gt;1&lt;/R&gt;&lt;C&gt;1&lt;/C&gt;&lt;D xsi:type="xsd:double"&gt;2058.5965034673&lt;/D&gt;&lt;/FQL&gt;&lt;FQL&gt;&lt;Q&gt;HTHT-US^FF_SALES(ANN_R,-2AY,,,,USD)&lt;/Q&gt;&lt;R&gt;1&lt;/R&gt;&lt;C&gt;1&lt;/C&gt;&lt;D xsi:type="xsd:double"&gt;1982.36776482153&lt;/D&gt;&lt;/FQL&gt;&lt;FQL&gt;&lt;Q&gt;WH-US^FF_NET_INC(ANN_R,0Y,,,,USD)&lt;/Q&gt;&lt;R&gt;1&lt;/R&gt;&lt;C&gt;1&lt;/C&gt;&lt;D xsi:type="xsd:double"&gt;289&lt;/D&gt;&lt;/FQL&gt;&lt;FQL&gt;&lt;Q&gt;WH-US^FF_NET_INC(ANN_R,-1AY,,,,USD)&lt;/Q&gt;&lt;R&gt;1&lt;/R&gt;&lt;C&gt;1&lt;/C&gt;&lt;D xsi:type="xsd:double"&gt;355&lt;/D&gt;&lt;/FQL&gt;&lt;FQL&gt;&lt;Q&gt;WH-US^FF_EBITDA_OPER(ANN_R,0Y,,,,USD)&lt;/Q&gt;&lt;R&gt;1&lt;/R&gt;&lt;C&gt;1&lt;/C&gt;&lt;D xsi:type="xsd:double"&gt;555&lt;/D&gt;&lt;/FQL&gt;&lt;FQL&gt;&lt;Q&gt;WH-US^FF_EBITDA_OPER(ANN_R,-1AY,,,,USD)&lt;/Q&gt;&lt;R&gt;1&lt;/R&gt;&lt;C&gt;1&lt;/C&gt;&lt;D xsi:type="xsd:double"&gt;599&lt;/D&gt;&lt;/FQL&gt;&lt;FQL&gt;&lt;Q&gt;WH-US^FF_SALES(ANN_R,0Y,,,,USD)&lt;/Q&gt;&lt;R&gt;1&lt;/R&gt;&lt;C&gt;1&lt;/C&gt;&lt;D xsi:type="xsd:double"&gt;1397&lt;/D&gt;&lt;/FQL&gt;&lt;FQL&gt;&lt;Q&gt;WH-US^FF_SALES(ANN_R,-1AY,,,,USD)&lt;/Q&gt;&lt;R&gt;1&lt;/R&gt;&lt;C&gt;1&lt;/C&gt;&lt;D xsi:type="xsd:double"&gt;1510&lt;/D&gt;&lt;/FQL&gt;&lt;FQL&gt;&lt;Q&gt;WH-US^FF_SALES(ANN_R,-2AY,,,,USD)&lt;/Q&gt;&lt;R&gt;1&lt;/R&gt;&lt;C&gt;1&lt;/C&gt;&lt;D xsi:type="xsd:double"&gt;1576&lt;/D&gt;&lt;/FQL&gt;&lt;FQL&gt;&lt;Q&gt;HLT-US^FF_NET_INC(ANN_R,0Y,,,,USD)&lt;/Q&gt;&lt;R&gt;1&lt;/R&gt;&lt;C&gt;1&lt;/C&gt;&lt;D xsi:type="xsd:double"&gt;1141&lt;/D&gt;&lt;/FQL&gt;&lt;FQL&gt;&lt;Q&gt;HLT-US^FF_NET_INC(ANN_R,-1AY,,,,USD)&lt;/Q&gt;&lt;R&gt;1&lt;/R&gt;&lt;C&gt;1&lt;/C&gt;&lt;D xsi:type="xsd:double"&gt;1255&lt;/D&gt;&lt;/FQL&gt;&lt;FQL&gt;&lt;Q&gt;HLT-US^FF_EBITDA_OPER(ANN_R,0Y,,,,USD)&lt;/Q&gt;&lt;R&gt;1&lt;/R&gt;&lt;C&gt;1&lt;/C&gt;&lt;D xsi:type="xsd:double"&gt;2410&lt;/D&gt;&lt;/FQL&gt;&lt;FQL&gt;&lt;Q&gt;HLT-US^FF_EBITDA_OPER(ANN_R,-1AY,,,,USD)&lt;/Q&gt;&lt;R&gt;1&lt;/R&gt;&lt;C&gt;1&lt;/C&gt;&lt;D xsi:type="xsd:double"&gt;2256&lt;/D&gt;&lt;/FQL&gt;&lt;FQL&gt;&lt;Q&gt;HLT-US^FF_SALES(ANN_R,0Y,,,,USD)&lt;/Q&gt;&lt;R&gt;1&lt;/R&gt;&lt;C&gt;1&lt;/C&gt;&lt;D xsi:type="xsd:double"&gt;10235&lt;/D&gt;&lt;/FQL&gt;&lt;FQL&gt;&lt;Q&gt;HLT-US^FF_SALES(ANN_R,-1AY,,,,USD)&lt;/Q&gt;&lt;R&gt;1&lt;/R&gt;&lt;C&gt;1&lt;/C&gt;&lt;D xsi:type="xsd:double"&gt;8773&lt;/D&gt;&lt;/FQL&gt;&lt;FQL&gt;&lt;Q&gt;HLT-US^FF_SALES(ANN_R,-2AY,,,,USD)&lt;/Q&gt;&lt;R&gt;1&lt;/R&gt;&lt;C&gt;1&lt;/C&gt;&lt;D xsi:type="xsd:double"&gt;5788&lt;/D&gt;&lt;/FQL&gt;&lt;FQL&gt;&lt;Q&gt;MAR-US^FF_NET_INC(ANN_R,0Y,,,,USD)&lt;/Q&gt;&lt;R&gt;1&lt;/R&gt;&lt;C&gt;1&lt;/C&gt;&lt;D xsi:type="xsd:double"&gt;3083&lt;/D&gt;&lt;/FQL&gt;&lt;FQL&gt;&lt;Q&gt;MAR-US^FF_NET_INC(ANN_R,-1AY,,,,USD)&lt;/Q&gt;&lt;R&gt;1&lt;/R&gt;&lt;C&gt;1&lt;/C&gt;&lt;D xsi:type="xsd:double"&gt;2358&lt;/D&gt;&lt;/FQL&gt;&lt;FQL&gt;&lt;Q&gt;MAR-US^FF_EBITDA_OPER(ANN_R,0Y,,,,USD)&lt;/Q&gt;&lt;R&gt;1&lt;/R&gt;&lt;C&gt;1&lt;/C&gt;&lt;D xsi:type="xsd:double"&gt;4235&lt;/D&gt;&lt;/FQL&gt;&lt;FQL&gt;&lt;Q&gt;MAR-US^FF_EBITDA_OPER(ANN_R,-1AY,,,,USD)&lt;/Q&gt;&lt;R&gt;1&lt;/R&gt;&lt;C&gt;1&lt;/C&gt;&lt;D xsi:type="xsd:double"&gt;3833&lt;/D&gt;&lt;/FQL&gt;&lt;FQL&gt;&lt;Q&gt;MAR-US^FF_SALES(ANN_R,0Y,,,,USD)&lt;/Q&gt;&lt;R&gt;1&lt;/R&gt;&lt;C&gt;1&lt;/C&gt;&lt;D xsi:type="xsd:double"&gt;23713&lt;/D&gt;&lt;/FQL&gt;&lt;FQL&gt;&lt;Q&gt;MAR-US^FF_SALES(ANN_R,-1AY,,,,USD)&lt;/Q&gt;&lt;R&gt;1&lt;/R&gt;&lt;C&gt;1&lt;/C&gt;&lt;D xsi:type="xsd:double"&gt;20773&lt;/D&gt;&lt;/FQL&gt;&lt;FQL&gt;&lt;Q&gt;MAR-US^FF_SALES(ANN_R,-2AY,,,,USD)&lt;/Q&gt;&lt;R&gt;1&lt;/R&gt;&lt;C&gt;1&lt;/C&gt;&lt;D xsi:type="xsd:double"&gt;13857&lt;/D&gt;&lt;/FQL&gt;&lt;FQL&gt;&lt;Q&gt;TRIP-US^FF_NET_INC(ANN_R,0Y,,,,USD)&lt;/Q&gt;&lt;R&gt;1&lt;/R&gt;&lt;C&gt;1&lt;/C&gt;&lt;D xsi:type="xsd:double"&gt;10&lt;/D&gt;&lt;/FQL&gt;&lt;FQL&gt;&lt;Q&gt;TRIP-US^FF_NET_INC(ANN_R,-1AY,,,,USD)&lt;/Q&gt;&lt;R&gt;1&lt;/R&gt;&lt;C&gt;1&lt;/C&gt;&lt;D xsi:type="xsd:double"&gt;20&lt;/D&gt;&lt;/FQL&gt;&lt;FQL&gt;&lt;Q&gt;TRIP-US^FF_EBITDA_OPER(ANN_R,0Y,,,,USD)&lt;/Q&gt;&lt;R&gt;1&lt;/R&gt;&lt;C&gt;1&lt;/C&gt;&lt;D xsi:type="xsd:double"&gt;238&lt;/D&gt;&lt;/FQL&gt;&lt;FQL&gt;&lt;Q&gt;TRIP-US^FF_EBITDA_OPER(ANN_R,-1AY,,,,USD)&lt;/Q&gt;&lt;R&gt;1&lt;/R&gt;&lt;C&gt;1&lt;/C&gt;&lt;D xsi:type="xsd:double"&gt;206&lt;/D&gt;&lt;/FQL&gt;&lt;FQL&gt;&lt;Q&gt;TRIP-US^FF_SALES(ANN_R,0Y,,,,USD)&lt;/Q&gt;&lt;R&gt;1&lt;/R&gt;&lt;C&gt;1&lt;/C&gt;&lt;D xsi:type="xsd:double"&gt;1788&lt;/D&gt;&lt;/FQL&gt;&lt;FQL&gt;&lt;Q&gt;TRIP-US^FF_SALES(ANN_R,-1AY,,,,USD)&lt;/Q&gt;&lt;R&gt;1&lt;/R&gt;&lt;C&gt;1&lt;/C&gt;&lt;D xsi:type="xsd:double"&gt;1492&lt;/D&gt;&lt;/FQL&gt;&lt;FQL&gt;&lt;Q&gt;TRIP-US^FF_SALES(ANN_R,-2AY,,,,USD)&lt;/Q&gt;&lt;R&gt;1&lt;/R&gt;&lt;C&gt;1&lt;/C&gt;&lt;D xsi:type="xsd:double"&gt;902&lt;/D&gt;&lt;/FQL&gt;&lt;FQL&gt;&lt;Q&gt;BIDU-US^FF_NET_INC(ANN_R,0Y,,,,USD)&lt;/Q&gt;&lt;R&gt;1&lt;/R&gt;&lt;C&gt;1&lt;/C&gt;&lt;D xsi:type="xsd:double"&gt;2766.11445183895&lt;/D&gt;&lt;/FQL&gt;&lt;FQL&gt;&lt;Q&gt;BIDU-US^FF_NET_INC(ANN_R,-1AY,,,,USD)&lt;/Q&gt;&lt;R&gt;1&lt;/R&gt;&lt;C&gt;1&lt;/C&gt;&lt;D xsi:type="xsd:double"&gt;1034.7929906334&lt;/D&gt;&lt;/FQL&gt;&lt;FQL&gt;&lt;Q&gt;BIDU-US^FF_EBITDA_OPER(ANN_R,0Y,,,,USD)&lt;/Q&gt;&lt;R&gt;1&lt;/R&gt;&lt;C&gt;1&lt;/C&gt;&lt;D xsi:type="xsd:double"&gt;5204.91901&lt;/D&gt;&lt;/FQL&gt;&lt;FQL&gt;&lt;Q&gt;BIDU-US^FF_EBITDA_OPER(ANN_R,-1AY,,,,USD)&lt;/Q&gt;&lt;R&gt;1&lt;/R&gt;&lt;C&gt;1&lt;/C&gt;&lt;D xsi:type="xsd:double"&gt;5185.25144&lt;/D&gt;&lt;/FQL&gt;&lt;FQL&gt;&lt;Q&gt;BIDU-US^FF_SALES(ANN_R,0Y,,,,USD)&lt;/Q&gt;&lt;R&gt;1&lt;/R&gt;&lt;C&gt;1&lt;/C&gt;&lt;D xsi:type="xsd:double"&gt;18997.523879407&lt;/D&gt;&lt;/FQL&gt;&lt;FQL&gt;&lt;Q&gt;BIDU-US^FF_SALES(ANN_R,-1AY,,,,USD)&lt;/Q&gt;&lt;R&gt;1&lt;/R&gt;&lt;C&gt;1&lt;/C&gt;&lt;D xsi:type="xsd:double"&gt;18366.5360385456&lt;/D&gt;&lt;/FQL&gt;&lt;FQL&gt;&lt;Q&gt;BIDU-US^FF_SALES(ANN_R,-2AY,,,,USD)&lt;/Q&gt;&lt;R&gt;1&lt;/R&gt;&lt;C&gt;1&lt;/C&gt;&lt;D xsi:type="xsd:double"&gt;19303.1607466505&lt;/D&gt;&lt;/FQL&gt;&lt;FQL&gt;&lt;Q&gt;GOOG-US^FF_NET_INC(ANN_R,0Y,,,,USD)&lt;/Q&gt;&lt;R&gt;1&lt;/R&gt;&lt;C&gt;1&lt;/C&gt;&lt;D xsi:type="xsd:double"&gt;73795&lt;/D&gt;&lt;/FQL&gt;&lt;FQL&gt;&lt;Q&gt;GOOG-US^FF_NET_INC(ANN_R,-1AY,,,,USD)&lt;/Q&gt;&lt;R&gt;1&lt;/R&gt;&lt;C&gt;1&lt;/C&gt;&lt;D xsi:type="xsd:double"&gt;59972&lt;/D&gt;&lt;/FQL&gt;&lt;FQL&gt;&lt;Q&gt;GOOG-US^FF_EBITDA_OPER(ANN_R,0Y,,,,USD)&lt;/Q&gt;&lt;R&gt;1&lt;/R&gt;&lt;C&gt;1&lt;/C&gt;&lt;D xsi:type="xsd:double"&gt;98090&lt;/D&gt;&lt;/FQL&gt;&lt;FQL&gt;&lt;Q&gt;GOOG-US^FF_EBITDA_OPER(ANN_R,-1AY,,,,USD)&lt;/Q&gt;&lt;R&gt;1&lt;/R&gt;&lt;C&gt;1&lt;/C&gt;&lt;D xsi:type="xsd:double"&gt;88809&lt;/D&gt;&lt;/FQL&gt;&lt;FQL&gt;&lt;Q&gt;GOOG-US^FF_SALES(ANN_R,0Y,,,,USD)&lt;/Q&gt;&lt;R&gt;1&lt;/R&gt;&lt;C&gt;1&lt;/C&gt;&lt;D xsi:type="xsd:double"&gt;307157&lt;/D&gt;&lt;/FQL&gt;&lt;FQL&gt;&lt;Q&gt;GOOG-US^FF_SALES(ANN_R,-1AY,,,,USD)&lt;/Q&gt;&lt;R&gt;1&lt;/R&gt;&lt;C&gt;1&lt;/C&gt;&lt;D xsi:type="xsd:double"&gt;280875&lt;/D&gt;&lt;/FQL&gt;&lt;FQL&gt;&lt;Q&gt;GOOG-US^FF_SALES(ANN_R,-2AY,,,,USD)&lt;/Q&gt;&lt;R&gt;1&lt;/R&gt;&lt;C&gt;1&lt;/C&gt;&lt;D xsi:type="xsd:double"&gt;257488&lt;/D&gt;&lt;/FQL&gt;&lt;FQL&gt;&lt;Q&gt;TCOM-US^FF_NET_INC(ANN_R,0Y,,,,USD)&lt;/Q&gt;&lt;R&gt;1&lt;/R&gt;&lt;C&gt;1&lt;/C&gt;&lt;D xsi:type="xsd:double"&gt;1399.85320610974&lt;/D&gt;&lt;/FQL&gt;&lt;FQL&gt;&lt;Q&gt;TCOM-US^FF_NET_INC(ANN_R,-1AY,,,,USD)&lt;/Q&gt;&lt;R&gt;1&lt;/R&gt;&lt;C&gt;1&lt;/C&gt;&lt;D xsi:type="xsd:double"&gt;208.354558820129&lt;/D&gt;&lt;/FQL&gt;&lt;FQL&gt;&lt;Q&gt;TCOM-US^FF_EBITDA_OPER(ANN_R,0Y,,,,USD)&lt;/Q&gt;&lt;R&gt;1&lt;/R&gt;&lt;C&gt;1&lt;/C&gt;&lt;D xsi:type="xsd:double"&gt;1746.78194&lt;/D&gt;&lt;/FQL&gt;&lt;FQL&gt;&lt;Q&gt;TCOM-US^FF_EBITDA_OPER(ANN_R,-1AY,,,,USD)&lt;/Q&gt;&lt;R&gt;1&lt;/R&gt;&lt;C&gt;1&lt;/C&gt;&lt;D xsi:type="xsd:double"&gt;204.79041&lt;/D&gt;&lt;/FQL&gt;&lt;FQL&gt;&lt;Q&gt;TCOM-US^FF_SALES(ANN_R,0Y,,,,USD)&lt;/Q&gt;&lt;R&gt;1&lt;/R&gt;&lt;C&gt;1&lt;/C&gt;&lt;D xsi:type="xsd:double"&gt;6282.26116192222&lt;/D&gt;&lt;/FQL&gt;&lt;FQL&gt;&lt;Q&gt;TCOM-US^FF_SALES(ANN_R,-1AY,,,,USD)&lt;/Q&gt;&lt;R&gt;1&lt;/R&gt;&lt;C&gt;1&lt;/C&gt;&lt;D xsi:type="xsd:double"&gt;2975.92088681152&lt;/D&gt;&lt;/FQL&gt;&lt;FQL&gt;&lt;Q&gt;TCOM-US^FF_SALES(ANN_R,-2AY,,,,USD)&lt;/Q&gt;&lt;R&gt;1&lt;/R&gt;&lt;C&gt;1&lt;/C&gt;&lt;D xsi:type="xsd:double"&gt;3104.64996128443&lt;/D&gt;&lt;/FQL&gt;&lt;FQL&gt;&lt;Q&gt;EXPE-US^FF_NET_INC(ANN_R,0Y,,,,USD)&lt;/Q&gt;&lt;R&gt;1&lt;/R&gt;&lt;C&gt;1&lt;/C&gt;&lt;D xsi:type="xsd:double"&gt;797&lt;/D&gt;&lt;/FQL&gt;&lt;FQL&gt;&lt;Q&gt;EXPE-US^FF_NET_INC(ANN_R,-1AY,,,,USD)&lt;/Q&gt;&lt;R&gt;1&lt;/R&gt;&lt;C&gt;1&lt;/C&gt;&lt;D xsi:type="xsd:double"&gt;352&lt;/D&gt;&lt;/FQL&gt;&lt;FQL&gt;&lt;Q&gt;EXPE-US^FF_EBITDA_OPER(ANN_R,0Y,,,,USD)&lt;/Q&gt;&lt;R&gt;1&lt;/R&gt;&lt;C&gt;1&lt;/C&gt;&lt;D xsi:type="xsd:double"&gt;2266&lt;/D&gt;&lt;/FQL&gt;&lt;FQL&gt;&lt;Q&gt;EXPE-US^FF_EBITDA_OPER(ANN_R,-1AY,,,,USD)&lt;/Q&gt;&lt;R&gt;1&lt;/R&gt;&lt;C&gt;1&lt;/C&gt;&lt;D xsi:type="xsd:double"&gt;1958&lt;/D&gt;&lt;/FQL&gt;&lt;FQL&gt;&lt;Q&gt;EXPE-US^FF_SALES(ANN_R,0Y,,,,USD)&lt;/Q&gt;&lt;R&gt;1&lt;/R&gt;&lt;C&gt;1&lt;/C&gt;&lt;D xsi:type="xsd:double"&gt;12839&lt;/D&gt;&lt;/FQL&gt;&lt;FQL&gt;&lt;Q&gt;EXPE-US^FF_SALES(ANN_R,-1AY,,,,USD)&lt;/Q&gt;&lt;R&gt;1&lt;/R&gt;&lt;C&gt;1&lt;/C&gt;&lt;D xsi:type="xsd:double"&gt;11667&lt;/D&gt;&lt;/FQL&gt;&lt;FQL&gt;&lt;Q&gt;EXPE-US^FF_SALES(ANN_R,-2AY,,,,USD)&lt;/Q&gt;&lt;R&gt;1&lt;/R&gt;&lt;C&gt;1&lt;/C&gt;&lt;D xsi:type="xsd:double"&gt;8598&lt;/D&gt;&lt;/FQL&gt;&lt;FQL&gt;&lt;Q&gt;BKNG-US^FF_NET_INC(ANN_R,0Y,,,,USD)&lt;/Q&gt;&lt;R&gt;1&lt;/R&gt;&lt;C&gt;1&lt;/C&gt;&lt;D xsi:type="xsd:double"&gt;4289&lt;/D&gt;&lt;/FQL&gt;&lt;FQL&gt;&lt;Q&gt;BKNG-US^FF_NET_INC(ANN_R,-1AY,,,,USD)&lt;/Q&gt;&lt;R&gt;1&lt;/R&gt;&lt;C&gt;1&lt;/C&gt;&lt;D xsi:type="xsd:double"&gt;3058&lt;/D&gt;&lt;/FQL&gt;&lt;FQL&gt;&lt;Q&gt;BKNG-US^FF_EBITDA_OPER(ANN_R,0Y,,,,USD)&lt;/Q&gt;&lt;R&gt;1&lt;/R&gt;&lt;C&gt;1&lt;/C&gt;&lt;D xsi:type="xsd:double"&gt;6505&lt;/D&gt;&lt;/FQL&gt;&lt;FQL&gt;&lt;Q&gt;BKNG-US^FF_EBITDA_OPER(ANN_R,-1AY,,,,USD)&lt;/Q&gt;&lt;R&gt;1&lt;/R&gt;&lt;C&gt;1&lt;/C&gt;&lt;D xsi:type="xsd:double"&gt;5510&lt;/D&gt;&lt;/FQL&gt;&lt;FQL&gt;&lt;Q&gt;BKNG-US^FF_SALES(ANN_R,0Y,,,,USD)&lt;/Q&gt;&lt;R&gt;1&lt;/R&gt;&lt;C&gt;1&lt;/C&gt;&lt;D xsi:type="xsd:double"&gt;21365&lt;/D&gt;&lt;/FQL&gt;&lt;FQL&gt;&lt;Q&gt;BKNG-US^FF_SALES(ANN_R,-1AY,,,,USD)&lt;/Q&gt;&lt;R&gt;1&lt;/R&gt;&lt;C&gt;1&lt;/C&gt;&lt;D xsi:type="xsd:double"&gt;17090&lt;/D&gt;&lt;/FQL&gt;&lt;FQL&gt;&lt;Q&gt;BKNG-US^FF_SALES(ANN_R,-2AY,,,,USD)&lt;/Q&gt;&lt;R&gt;1&lt;/R&gt;&lt;C&gt;1&lt;/C&gt;&lt;D xsi:type="xsd:double"&gt;10958&lt;/D&gt;&lt;/FQL&gt;&lt;FQL&gt;&lt;Q&gt;ABNB-US^FF_NET_INC(ANN_R,0Y,,,,USD)&lt;/Q&gt;&lt;R&gt;1&lt;/R&gt;&lt;C&gt;1&lt;/C&gt;&lt;D xsi:type="xsd:double"&gt;4792&lt;/D&gt;&lt;/FQL&gt;&lt;FQL&gt;&lt;Q&gt;ABNB-US^FF_NET_INC(ANN_R,-1AY,,,,USD)&lt;/Q&gt;&lt;R&gt;1&lt;/R&gt;&lt;C&gt;1&lt;/C&gt;&lt;D xsi:type="xsd:double"&gt;1893&lt;/D&gt;&lt;/FQL&gt;&lt;FQL&gt;&lt;Q&gt;ABNB-US^FF_EBITDA_OPER(ANN_R,0Y,,,,USD)&lt;/Q&gt;&lt;R&gt;1&lt;/R&gt;&lt;C&gt;1&lt;/C&gt;&lt;D xsi:type="xsd:double"&gt;1565&lt;/D&gt;&lt;/FQL&gt;&lt;FQL&gt;&lt;Q&gt;ABNB-US^FF_EBITDA_OPER(ANN_R,-1AY,,,,USD)&lt;/Q&gt;&lt;R&gt;1&lt;/R&gt;&lt;C&gt;1&lt;/C&gt;&lt;D xsi:type="xsd:double"&gt;1968.3&lt;/D&gt;&lt;/FQL&gt;&lt;FQL&gt;&lt;Q&gt;ABNB-US^FF_SALES(ANN_R,0Y,,,,USD)&lt;/Q&gt;&lt;R&gt;1&lt;/R&gt;&lt;C&gt;1&lt;/C&gt;&lt;D xsi:type="xsd:double"&gt;9917&lt;/D&gt;&lt;/FQL&gt;&lt;FQL&gt;&lt;Q&gt;ABNB-US^FF_SALES(ANN_R,-1AY,,,,USD)&lt;/Q&gt;&lt;R&gt;1&lt;/R&gt;&lt;C&gt;1&lt;/C&gt;&lt;D xsi:type="xsd:double"&gt;8399&lt;/D&gt;&lt;/FQL&gt;&lt;FQL&gt;&lt;Q&gt;ABNB-US^FF_SALES(ANN_R,-2AY,,,,USD)&lt;/Q&gt;&lt;R&gt;1&lt;/R&gt;&lt;C&gt;1&lt;/C&gt;&lt;D xsi:type="xsd:double"&gt;5991.76&lt;/D&gt;&lt;/FQL&gt;&lt;FQL&gt;&lt;Q&gt;ABNB-US^FF_EPS(ANN_R,NOW,,,,USD)&lt;/Q&gt;&lt;R&gt;1&lt;/R&gt;&lt;C&gt;1&lt;/C&gt;&lt;D xsi:type="xsd:double"&gt;7.2387&lt;/D&gt;&lt;/FQL&gt;&lt;FQL&gt;&lt;Q&gt;HTHT-US^FF_DEBT(QTR_R,0)&lt;/Q&gt;&lt;R&gt;1&lt;/R&gt;&lt;C&gt;1&lt;/C&gt;&lt;D xsi:type="xsd:double"&gt;4993.87750866474&lt;/D&gt;&lt;/FQL&gt;&lt;FQL&gt;&lt;Q&gt;HTHT-US^FF_CASH_ST(QTR_R,0)&lt;/Q&gt;&lt;R&gt;1&lt;/R&gt;&lt;C&gt;1&lt;/C&gt;&lt;D xsi:type="xsd:double"&gt;1151.3050937744&lt;/D&gt;&lt;/FQL&gt;&lt;FQL&gt;&lt;Q&gt;WH-US^FF_DEBT(QTR_R,0)&lt;/Q&gt;&lt;R&gt;1&lt;/R&gt;&lt;C&gt;1&lt;/C&gt;&lt;D xsi:type="xsd:double"&gt;2427&lt;/D&gt;&lt;/FQL&gt;&lt;FQL&gt;&lt;Q&gt;WH-US^FF_CASH_ST(QTR_R,0)&lt;/Q&gt;&lt;R&gt;1&lt;/R&gt;&lt;C&gt;1&lt;/C&gt;&lt;D xsi:type="xsd:double"&gt;70&lt;/D&gt;&lt;/FQL&gt;&lt;FQL&gt;&lt;Q&gt;HLT-US^FF_DEBT(QTR_R,0)&lt;/Q&gt;&lt;R&gt;1&lt;/R&gt;&lt;C&gt;1&lt;/C&gt;&lt;D xsi:type="xsd:double"&gt;10948&lt;/D&gt;&lt;/FQL&gt;&lt;FQL&gt;&lt;Q&gt;HLT-US^FF_CASH_ST(QTR_R,0)&lt;/Q&gt;&lt;R&gt;1&lt;/R&gt;&lt;C&gt;1&lt;/C&gt;&lt;D xsi:type="xsd:double"&gt;1420&lt;/D&gt;&lt;/FQL&gt;&lt;FQL&gt;&lt;Q&gt;MAR-US^FF_DEBT(QTR_R,0)&lt;/Q&gt;&lt;R&gt;1&lt;/R&gt;&lt;C&gt;1&lt;/C&gt;&lt;D xsi:type="xsd:double"&gt;13509&lt;/D&gt;&lt;/FQL&gt;&lt;FQL&gt;&lt;Q&gt;MAR-US^FF_CASH_ST(QTR_R,0)&lt;/Q&gt;&lt;R&gt;1&lt;/R&gt;&lt;C&gt;1&lt;/C&gt;&lt;D xsi:type="xsd:double"&gt;429&lt;/D&gt;&lt;/FQL&gt;&lt;FQL&gt;&lt;Q&gt;TRIP-US^FF_DEBT(QTR_R,0)&lt;/Q&gt;&lt;R&gt;1&lt;/R&gt;&lt;C&gt;1&lt;/C&gt;&lt;D xsi:type="xsd:double"&gt;917&lt;/D&gt;&lt;/FQL&gt;&lt;FQL&gt;&lt;Q&gt;TRIP-US^FF_CASH_ST(QTR_R,0)&lt;/Q&gt;&lt;R&gt;1&lt;/R&gt;&lt;C&gt;1&lt;/C&gt;&lt;D xsi:type="xsd:double"&gt;1171&lt;/D&gt;&lt;/FQL&gt;&lt;FQL&gt;&lt;Q&gt;BIDU-US^FF_DEBT(QTR_R,0)&lt;/Q&gt;&lt;R&gt;1&lt;/R&gt;&lt;C&gt;1&lt;/C&gt;&lt;D xsi:type="xsd:double"&gt;12369.0928335716&lt;/D&gt;&lt;/FQL&gt;&lt;FQL&gt;&lt;Q&gt;BIDU-US^FF_CASH_ST(QTR_R,0)&lt;/Q&gt;&lt;R&gt;1&lt;/R&gt;&lt;C&gt;1&lt;/C&gt;&lt;D xsi:type="xsd:double"&gt;26536.3302409556&lt;/D&gt;&lt;/FQL&gt;&lt;FQL&gt;&lt;Q&gt;GOOG-US^FF_DEBT(QTR_R,0)&lt;/Q&gt;&lt;R&gt;1&lt;/R&gt;&lt;C&gt;1&lt;/C&gt;&lt;D xsi:type="xsd:double"&gt;28719&lt;/D&gt;&lt;/FQL&gt;&lt;FQL&gt;&lt;Q&gt;GOOG-US^FF_CASH_ST(QTR_R,0)&lt;/Q&gt;&lt;R&gt;1&lt;/R&gt;&lt;C&gt;1&lt;/C&gt;&lt;D xsi:type="xsd:double"&gt;100725&lt;/D&gt;&lt;/FQL&gt;&lt;FQL&gt;&lt;Q&gt;TCOM-US^FF_DEBT(QTR_R,0)&lt;/Q&gt;&lt;R&gt;1&lt;/R&gt;&lt;C&gt;1&lt;/C&gt;&lt;D xsi:type="xsd:double"&gt;6611.32211222473&lt;/D&gt;&lt;/FQL&gt;&lt;FQL&gt;&lt;Q&gt;TCOM-US^FF_CASH_ST(QTR_R,0)&lt;/Q&gt;&lt;R&gt;1&lt;/R&gt;&lt;C&gt;1&lt;/C&gt;&lt;D xsi:type="xsd:double"&gt;9724.03821541456&lt;/D&gt;&lt;/FQL&gt;&lt;FQL&gt;&lt;Q&gt;EXPE-US^FF_DEBT(QTR_R,0)&lt;/Q&gt;&lt;R&gt;1&lt;/R&gt;&lt;C&gt;1&lt;/C&gt;&lt;D xsi:type="xsd:double"&gt;6557&lt;/D&gt;&lt;/FQL&gt;&lt;FQL&gt;&lt;Q&gt;EXPE-US^FF_CASH_ST(QTR_R,0)&lt;/Q&gt;&lt;R&gt;1&lt;/R&gt;&lt;C&gt;1&lt;/C&gt;&lt;D xsi:type="xsd:double"&gt;7648&lt;/D&gt;&lt;/FQL&gt;&lt;FQL&gt;&lt;Q&gt;BKNG-US^FF_DEBT(QTR_R,0)&lt;/Q&gt;&lt;R&gt;1&lt;/R&gt;&lt;C&gt;1&lt;/C&gt;&lt;D xsi:type="xsd:double"&gt;17456&lt;/D&gt;&lt;/FQL&gt;&lt;FQL&gt;&lt;Q&gt;BKNG-US^FF_CASH_ST(QTR_R,0)&lt;/Q&gt;&lt;R&gt;1&lt;/R&gt;&lt;C&gt;1&lt;/C&gt;&lt;D xsi:type="xsd:double"&gt;15991&lt;/D&gt;&lt;/FQL&gt;&lt;FQL&gt;&lt;Q&gt;HTHT-US^FCS_SHARES(TOT,SHS,ANN,0,,,,,M)&lt;/Q&gt;&lt;R&gt;1&lt;/R&gt;&lt;C&gt;1&lt;/C&gt;&lt;D xsi:type="xsd:double"&gt;3258.872849&lt;/D&gt;&lt;/FQL&gt;&lt;FQL&gt;&lt;Q&gt;HTHT-US^FG_PRICE(0,,,USD)&lt;/Q&gt;&lt;R&gt;1&lt;/R&gt;&lt;C&gt;1&lt;/C&gt;&lt;D xsi:type="xsd:double"&gt;31.1&lt;/D&gt;&lt;/FQL&gt;&lt;FQL&gt;&lt;Q&gt;HTHT-US^FG_COMPANY_NAME&lt;/Q&gt;&lt;R&gt;1&lt;/R&gt;&lt;C&gt;1&lt;/C&gt;&lt;D xsi:type="xsd:string"&gt;H World Group Limited Sponsored ADR&lt;/D&gt;&lt;/FQL&gt;&lt;FQL&gt;&lt;Q&gt;WH-US^FCS_SHARES(TOT,SHS,ANN,0,,,,,M)&lt;/Q&gt;&lt;R&gt;1&lt;/R&gt;&lt;C&gt;1&lt;/C&gt;&lt;D xsi:type="xsd:double"&gt;83.204937&lt;/D&gt;&lt;/FQL&gt;&lt;FQL&gt;&lt;Q&gt;WH-US^FG_PRICE(0,,,USD)&lt;/Q&gt;&lt;R&gt;1&lt;/R&gt;&lt;C&gt;1&lt;/C&gt;&lt;D xsi:type="xsd:double"&gt;76.6&lt;/D&gt;&lt;/FQL&gt;&lt;FQL&gt;&lt;Q&gt;WH-US^FG_COMPANY_NAME&lt;/Q&gt;&lt;R&gt;1&lt;/R&gt;&lt;C&gt;1&lt;/C&gt;&lt;D xsi:type="xsd:string"&gt;Wyndham Hotels &amp;amp; Resorts, Inc.&lt;/D&gt;&lt;/FQL&gt;&lt;FQL&gt;&lt;Q&gt;HLT-US^FCS_SHARES(TOT,SHS,ANN,0,,,,,M)&lt;/Q&gt;&lt;R&gt;1&lt;/R&gt;&lt;C&gt;1&lt;/C&gt;&lt;D xsi:type="xsd:double"&gt;256.67143&lt;/D&gt;&lt;/FQL&gt;&lt;FQL&gt;&lt;Q&gt;HLT-US^FG_PRICE(0,,,USD)&lt;/Q&gt;&lt;R&gt;1&lt;/R&gt;&lt;C&gt;1&lt;/C&gt;&lt;D xsi:type="xsd:double"&gt;213.18&lt;/D&gt;&lt;/FQL&gt;&lt;FQL&gt;&lt;Q&gt;HLT-US^FG_COMPANY_NAME&lt;/Q&gt;&lt;R&gt;1&lt;/R&gt;&lt;C&gt;1&lt;/C&gt;&lt;D xsi:type="xsd:string"&gt;Hilton Worldwide Holdings Inc.&lt;/D&gt;&lt;/FQL&gt;&lt;FQL&gt;&lt;Q&gt;MAR-US^FCS_SHARES(TOT,SHS,ANN,0,,,,,M)&lt;/Q&gt;&lt;R&gt;1&lt;/R&gt;&lt;C&gt;1&lt;/C&gt;&lt;D xsi:type="xsd:double"&gt;293.639975&lt;/D&gt;&lt;/FQL&gt;&lt;FQL&gt;&lt;Q&gt;MAR-US^FG_PRICE(0,,,USD)&lt;/Q&gt;&lt;R&gt;1&lt;/R&gt;&lt;C&gt;1&lt;/C&gt;&lt;D xsi:type="xsd:double"&gt;233.75&lt;/D&gt;&lt;/FQL&gt;&lt;FQL&gt;&lt;Q&gt;MAR-US^FG_COMPANY_NAME&lt;/Q&gt;&lt;R&gt;1&lt;/R&gt;&lt;C&gt;1&lt;/C&gt;&lt;D xsi:type="xsd:string"&gt;Marriott International, Inc. Class A&lt;/D&gt;&lt;/FQL&gt;&lt;FQL&gt;&lt;Q&gt;TRIP-US^FCS_SHARES(TOT,SHS,ANN,0,,,,,M)&lt;/Q&gt;&lt;R&gt;1&lt;/R&gt;&lt;C&gt;1&lt;/C&gt;&lt;D xsi:type="xsd:double"&gt;150.292493&lt;/D&gt;&lt;/FQL&gt;&lt;FQL&gt;&lt;Q&gt;TRIP-US^FG_PRICE(0,,,USD)&lt;/Q&gt;&lt;R&gt;1&lt;/R&gt;&lt;C&gt;1&lt;/C&gt;&lt;D xsi:type="xsd:double"&gt;17.61&lt;/D&gt;&lt;/FQL&gt;&lt;FQL&gt;&lt;Q&gt;TRIP-US^FG_COMPANY_NAME&lt;/Q&gt;&lt;R&gt;1&lt;/R&gt;&lt;C&gt;1&lt;/C&gt;&lt;D xsi:type="xsd:string"&gt;TripAdvisor, Inc.&lt;/D&gt;&lt;/FQL&gt;&lt;FQL&gt;&lt;Q&gt;BIDU-US^FCS_SHARES(TOT,SHS,ANN,0,,,,,M)&lt;/Q&gt;&lt;R&gt;1&lt;/R&gt;&lt;C&gt;1&lt;/C&gt;&lt;D xsi:type="xsd:double"&gt;3085.53838&lt;/D&gt;&lt;/FQL&gt;&lt;FQL&gt;&lt;Q&gt;BIDU-US^FG_PRICE(0,,,USD)&lt;/Q&gt;&lt;R&gt;1&lt;/R&gt;&lt;C&gt;1&lt;/C&gt;&lt;D xsi:type="xsd:double"&gt;87.79&lt;/D&gt;&lt;/FQL&gt;&lt;FQL&gt;&lt;Q&gt;BIDU-US^FG_COMPANY_NAME&lt;/Q&gt;&lt;R&gt;1&lt;/R&gt;&lt;C&gt;1&lt;/C&gt;&lt;D xsi:type="xsd:string"&gt;Baidu Inc Sponsored ADR Class A&lt;/D&gt;&lt;/FQL&gt;&lt;FQL&gt;&lt;Q&gt;GOOG-US^FCS_SHARES(TOT,SHS,ANN,0,,,,,M)&lt;/Q&gt;&lt;R&gt;1&lt;/R&gt;&lt;C&gt;1&lt;/C&gt;&lt;D xsi:type="xsd:double"&gt;12798&lt;/D&gt;&lt;/FQL&gt;&lt;FQL&gt;&lt;Q&gt;GOOG-US^FG_PRICE(0,,,USD)&lt;/Q&gt;&lt;R&gt;1&lt;/R&gt;&lt;C&gt;1&lt;/C&gt;&lt;D xsi:type="xsd:double"&gt;169.16&lt;/D&gt;&lt;/FQL&gt;&lt;FQL&gt;&lt;Q&gt;GOOG-US^FG_COMPANY_NAME&lt;/Q&gt;&lt;R&gt;1&lt;/R&gt;&lt;C&gt;1&lt;/C&gt;&lt;D xsi:type="xsd:string"&gt;Alphabet Inc. Class C&lt;/D&gt;&lt;/FQL&gt;&lt;FQL&gt;&lt;Q&gt;TCOM-US^FCS_SHARES(TOT,SHS,ANN,0,,,,,M)&lt;/Q&gt;&lt;R&gt;1&lt;/R&gt;&lt;C&gt;1&lt;/C&gt;&lt;D xsi:type="xsd:double"&gt;676.300646&lt;/D&gt;&lt;/FQL&gt;&lt;FQL&gt;&lt;Q&gt;TCOM-US^FG_PRICE(0,,,USD)&lt;/Q&gt;&lt;R&gt;1&lt;/R&gt;&lt;C&gt;1&lt;/C&gt;&lt;D xsi:type="xsd:double"&gt;43.43&lt;/D&gt;&lt;/FQL&gt;&lt;FQL&gt;&lt;Q&gt;TCOM-US^FG_COMPANY_NAME&lt;/Q&gt;&lt;R&gt;1&lt;/R&gt;&lt;C&gt;1&lt;/C&gt;&lt;D xsi:type="xsd:string"&gt;Trip.com Group Ltd. Sponsored ADR&lt;/D&gt;&lt;/FQL&gt;&lt;FQL&gt;&lt;Q&gt;EXPE-US^FCS_SHARES(TOT,SHS,ANN,0,,,,,M)&lt;/Q&gt;&lt;R&gt;1&lt;/R&gt;&lt;C&gt;1&lt;/C&gt;&lt;D xsi:type="xsd:double"&gt;138.296104&lt;/D&gt;&lt;/FQL&gt;&lt;FQL&gt;&lt;Q&gt;EXPE-US^FG_PRICE(0,,,USD)&lt;/Q&gt;&lt;R&gt;1&lt;/R&gt;&lt;C&gt;1&lt;/C&gt;&lt;D xsi:type="xsd:double"&gt;124.9&lt;/D&gt;&lt;/FQL&gt;&lt;FQL&gt;&lt;Q&gt;EXPE-US^FG_COMPANY_NAME&lt;/Q&gt;&lt;R&gt;1&lt;/R&gt;&lt;C&gt;1&lt;/C&gt;&lt;D xsi:type="xsd:string"&gt;Expedia Group, Inc.&lt;/D&gt;&lt;/FQL&gt;&lt;FQL&gt;&lt;Q&gt;BKNG-US^FCS_SHARES(TOT,SHS,ANN,0,,,,,M)&lt;/Q&gt;&lt;R&gt;1&lt;/R&gt;&lt;C&gt;1&lt;/C&gt;&lt;D xsi:type="xsd:double"&gt;35.404613&lt;/D&gt;&lt;/FQL&gt;&lt;FQL&gt;&lt;Q&gt;BKNG-US^FG_PRICE(0,,,USD)&lt;/Q&gt;&lt;R&gt;1&lt;/R&gt;&lt;C&gt;1&lt;/C&gt;&lt;D xsi:type="xsd:double"&gt;3659.88&lt;/D&gt;&lt;/FQL&gt;&lt;FQL&gt;&lt;Q&gt;BKNG-US^FG_COMPANY_NAME&lt;/Q&gt;&lt;R&gt;1&lt;/R&gt;&lt;C&gt;1&lt;/C&gt;&lt;D xsi:type="xsd:string"&gt;Booking Holdings Inc.&lt;/D&gt;&lt;/FQL&gt;&lt;FQL&gt;&lt;Q&gt;ABNB-US^FCS_SHARES(TOT,SHS,ANN,0,,,,,M)&lt;/Q&gt;&lt;R&gt;1&lt;/R&gt;&lt;C&gt;1&lt;/C&gt;&lt;D xsi:type="xsd:double"&gt;681.943646&lt;/D&gt;&lt;/FQL&gt;&lt;FQL&gt;&lt;Q&gt;ABNB-US^FG_PRICE(0,,,USD)&lt;/Q&gt;&lt;R&gt;1&lt;/R&gt;&lt;C&gt;1&lt;/C&gt;&lt;D xsi:type="xsd:double"&gt;140.03&lt;/D&gt;&lt;/FQL&gt;&lt;FQL&gt;&lt;Q&gt;ABNB-US^FG_COMPANY_NAME&lt;/Q&gt;&lt;R&gt;1&lt;/R&gt;&lt;C&gt;1&lt;/C&gt;&lt;D xsi:type="xsd:string"&gt;Airbnb, Inc. Class A&lt;/D&gt;&lt;/FQL&gt;&lt;/Schema&gt;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Hongjia Cui</author>
  </authors>
  <commentList>
    <comment ref="AB18" authorId="0" shapeId="0" xr:uid="{0DD17BAF-CF8B-4FCF-BCD1-5D0DA4E482BE}">
      <text>
        <r>
          <rPr>
            <b/>
            <sz val="9"/>
            <color indexed="81"/>
            <rFont val="Tahoma"/>
            <family val="2"/>
          </rPr>
          <t>Hongjia Cui:</t>
        </r>
        <r>
          <rPr>
            <sz val="9"/>
            <color indexed="81"/>
            <rFont val="Tahoma"/>
            <family val="2"/>
          </rPr>
          <t xml:space="preserve">
General and administrative expense increased $1.1 billion, or 113%, in 2023, compared to 2022, primarily due to an increase of $991 million related to business and operational taxes, the majority of which is non-recurring, and a $93 million increase in payroll related expenses partially offset by a reduction in insurance expense of $18 million driven by reduced directors and officers insurance premiums.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69" authorId="0" shapeId="0" xr:uid="{D213660C-482A-4D64-80F8-5F575AD2984E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We have 0.58 left to the end of this year</t>
        </r>
      </text>
    </comment>
    <comment ref="J70" authorId="0" shapeId="0" xr:uid="{5E88EC2C-A748-4D76-80D6-4558B3532B2F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Bankers always say we discount cash flow in the middle of a year, which is simplified the process, and we just assume that we get cash flow in Sep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<sst xmlns="http://schemas.openxmlformats.org/spreadsheetml/2006/main" count="618" uniqueCount="289">
  <si>
    <t>% of Total</t>
  </si>
  <si>
    <t>(in millions, except percentages)</t>
  </si>
  <si>
    <t>Nights and Experiences Booked</t>
  </si>
  <si>
    <t>North America</t>
  </si>
  <si>
    <t>EMEA</t>
  </si>
  <si>
    <t>Latin America</t>
  </si>
  <si>
    <t>Asia Pacific</t>
  </si>
  <si>
    <t>Total</t>
  </si>
  <si>
    <t>Gross Booking Value</t>
  </si>
  <si>
    <t>Revenue</t>
  </si>
  <si>
    <t>% YOY</t>
  </si>
  <si>
    <t>Date</t>
  </si>
  <si>
    <t>Currency</t>
  </si>
  <si>
    <t>USD million</t>
  </si>
  <si>
    <t>Current</t>
  </si>
  <si>
    <t>Share</t>
  </si>
  <si>
    <t>Market</t>
  </si>
  <si>
    <t>Enterprise</t>
  </si>
  <si>
    <t>EBITDA</t>
  </si>
  <si>
    <t>Net Income</t>
  </si>
  <si>
    <t>Revenue Growth</t>
  </si>
  <si>
    <t>EBITDA Margin</t>
  </si>
  <si>
    <t>Profit Margin</t>
  </si>
  <si>
    <t>EV / Revenue</t>
  </si>
  <si>
    <t>EV / EBITDA</t>
  </si>
  <si>
    <t>P / E</t>
  </si>
  <si>
    <t>Ticker</t>
  </si>
  <si>
    <t>Company Name</t>
  </si>
  <si>
    <t>Price</t>
  </si>
  <si>
    <t>Count</t>
  </si>
  <si>
    <t>Cap</t>
  </si>
  <si>
    <t>Value</t>
  </si>
  <si>
    <t>21</t>
  </si>
  <si>
    <t>22</t>
  </si>
  <si>
    <t>23</t>
  </si>
  <si>
    <t>'22</t>
  </si>
  <si>
    <t>'23</t>
  </si>
  <si>
    <t>'21-'22</t>
  </si>
  <si>
    <t>'22-'23</t>
  </si>
  <si>
    <t>Mean</t>
  </si>
  <si>
    <t>Median</t>
  </si>
  <si>
    <t>Forward Trading Multiple (FY1)</t>
  </si>
  <si>
    <t>2023 Financial Metric</t>
  </si>
  <si>
    <t>Enterprise Value</t>
  </si>
  <si>
    <t>Equity Value</t>
  </si>
  <si>
    <t>Implied Share Price (forward)</t>
  </si>
  <si>
    <t>Calculating Implied Share Price</t>
  </si>
  <si>
    <t>P/E</t>
  </si>
  <si>
    <t>EPS</t>
  </si>
  <si>
    <t>Cash</t>
  </si>
  <si>
    <t>Debt</t>
  </si>
  <si>
    <t>Shares</t>
  </si>
  <si>
    <t>Minimum</t>
  </si>
  <si>
    <t>--</t>
  </si>
  <si>
    <t>Maximum</t>
  </si>
  <si>
    <t>DATABASE</t>
  </si>
  <si>
    <t>ABNB-US</t>
  </si>
  <si>
    <t>BKNG-US</t>
  </si>
  <si>
    <t>EXPE-US</t>
  </si>
  <si>
    <t>TCOM-US</t>
  </si>
  <si>
    <t>GOOG-US</t>
  </si>
  <si>
    <t>BIDU-US</t>
  </si>
  <si>
    <t>TRIP-US</t>
  </si>
  <si>
    <t>MAR-US</t>
  </si>
  <si>
    <t>HLT-US</t>
  </si>
  <si>
    <t>WH-US</t>
  </si>
  <si>
    <t>HTHT-US</t>
  </si>
  <si>
    <t>% of total</t>
  </si>
  <si>
    <t>This sheet contains FactSet XML data for use with this workbook's =FDS codes.  Modifying the worksheet's contents may damage the workbook's =FDS functionality.</t>
  </si>
  <si>
    <t>GBV - Rev %</t>
  </si>
  <si>
    <t>Fiscal year ended December,</t>
  </si>
  <si>
    <t>Q1 19</t>
  </si>
  <si>
    <t>Q2 19</t>
  </si>
  <si>
    <t>Q3 19</t>
  </si>
  <si>
    <t>Q4 19</t>
  </si>
  <si>
    <t>Q1 20</t>
  </si>
  <si>
    <t>Q2 20</t>
  </si>
  <si>
    <t>Q3 20</t>
  </si>
  <si>
    <t>Q4 20</t>
  </si>
  <si>
    <t>Q1 21</t>
  </si>
  <si>
    <t>Q2 21</t>
  </si>
  <si>
    <t>Q3 21</t>
  </si>
  <si>
    <t>Q4 21</t>
  </si>
  <si>
    <t>Q1 22</t>
  </si>
  <si>
    <t>Q2 22</t>
  </si>
  <si>
    <t>Q3 22</t>
  </si>
  <si>
    <t>Q4 22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</si>
  <si>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</si>
  <si>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</si>
  <si>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</si>
  <si>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</si>
  <si>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</si>
  <si>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</si>
  <si>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</si>
  <si>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</si>
  <si>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2024E</t>
  </si>
  <si>
    <t>2025E</t>
  </si>
  <si>
    <t>2026E</t>
  </si>
  <si>
    <t>Period ending</t>
  </si>
  <si>
    <t>Days in period</t>
  </si>
  <si>
    <t>Income Statement</t>
  </si>
  <si>
    <t>Total revenue</t>
  </si>
  <si>
    <t>Depreciation and amortization</t>
  </si>
  <si>
    <t>Income from operations</t>
  </si>
  <si>
    <t>Net income</t>
  </si>
  <si>
    <t>Earnings per share:</t>
  </si>
  <si>
    <t>Basic</t>
  </si>
  <si>
    <t>Diluted</t>
  </si>
  <si>
    <t>Weighted-average common shares outstanding:</t>
  </si>
  <si>
    <t>Cash Flow Statement</t>
  </si>
  <si>
    <t>Operating activities</t>
  </si>
  <si>
    <t>Adjustments to reconcile net income to net cash provided by operating activities:</t>
  </si>
  <si>
    <t>Stock-based compensation expense</t>
  </si>
  <si>
    <t>Operating lease liabilities</t>
  </si>
  <si>
    <t>Net cash provided by operating activities</t>
  </si>
  <si>
    <t>Investing activities</t>
  </si>
  <si>
    <t>-</t>
  </si>
  <si>
    <t>Financing activities</t>
  </si>
  <si>
    <t xml:space="preserve">YOY Growth </t>
  </si>
  <si>
    <t>Cost of revenues</t>
  </si>
  <si>
    <t>% of Sales</t>
  </si>
  <si>
    <t>Gross profit</t>
  </si>
  <si>
    <t xml:space="preserve">Gross Margin </t>
  </si>
  <si>
    <t>Operating expenses</t>
  </si>
  <si>
    <t>Total operating expenses (including the COGS)</t>
  </si>
  <si>
    <t xml:space="preserve">Operating Margin </t>
  </si>
  <si>
    <t>% of Operating Income</t>
  </si>
  <si>
    <t xml:space="preserve">Net Margin </t>
  </si>
  <si>
    <t xml:space="preserve">EBITDA Margin </t>
  </si>
  <si>
    <t>Street-based consensus</t>
  </si>
  <si>
    <t>Change in Net Working Capital</t>
  </si>
  <si>
    <t>% of Incremental Sales</t>
  </si>
  <si>
    <t>Capex</t>
  </si>
  <si>
    <t xml:space="preserve"> </t>
  </si>
  <si>
    <t>In millions</t>
  </si>
  <si>
    <t>Implied Share Price</t>
  </si>
  <si>
    <t>Current Share Price</t>
  </si>
  <si>
    <t>Year end</t>
  </si>
  <si>
    <t>Implied Gain / (Loss)</t>
  </si>
  <si>
    <t>Terminal Growth Rate</t>
  </si>
  <si>
    <t>WACC</t>
  </si>
  <si>
    <t>x</t>
  </si>
  <si>
    <t>Assumptions</t>
  </si>
  <si>
    <t>Switches</t>
  </si>
  <si>
    <t>Conservative</t>
  </si>
  <si>
    <t>Street / Base</t>
  </si>
  <si>
    <t>Optimistic</t>
  </si>
  <si>
    <t xml:space="preserve">Revenue </t>
  </si>
  <si>
    <t>EBIT</t>
  </si>
  <si>
    <t>Revenue 2029</t>
  </si>
  <si>
    <t>TGR</t>
  </si>
  <si>
    <t>Taxes</t>
  </si>
  <si>
    <t>Income Statement (12/31 CYE)</t>
  </si>
  <si>
    <t>% growth</t>
  </si>
  <si>
    <t>% of sales</t>
  </si>
  <si>
    <t>Cash Flow Items (12/31 CYE)</t>
  </si>
  <si>
    <t>D&amp;A</t>
  </si>
  <si>
    <t>CapEx</t>
  </si>
  <si>
    <t>Change in NWC</t>
  </si>
  <si>
    <t>DCF</t>
  </si>
  <si>
    <t>Conservative Case</t>
  </si>
  <si>
    <t>Street Case</t>
  </si>
  <si>
    <t>Optimistic Case</t>
  </si>
  <si>
    <t>Tax rate</t>
  </si>
  <si>
    <t>NOPAT</t>
  </si>
  <si>
    <t>Unlevered FCF</t>
  </si>
  <si>
    <t>Present Value of FCF</t>
  </si>
  <si>
    <t>Period</t>
  </si>
  <si>
    <t>Discount Period</t>
  </si>
  <si>
    <t>Terminal Value</t>
  </si>
  <si>
    <t>Present Value of Terminal Value</t>
  </si>
  <si>
    <t>(+) Cash</t>
  </si>
  <si>
    <t>(-) Debt</t>
  </si>
  <si>
    <t>Diluted Shares</t>
  </si>
  <si>
    <t>Implied Stock Price</t>
  </si>
  <si>
    <t>Market Cap</t>
  </si>
  <si>
    <t>1 year return scenarios</t>
  </si>
  <si>
    <t>Tactical R/R</t>
  </si>
  <si>
    <t>Action</t>
  </si>
  <si>
    <t>12m Target</t>
  </si>
  <si>
    <t>% return</t>
  </si>
  <si>
    <t>Reward</t>
  </si>
  <si>
    <t>Risk</t>
  </si>
  <si>
    <t>R/R</t>
  </si>
  <si>
    <t>% move</t>
  </si>
  <si>
    <t>Street</t>
  </si>
  <si>
    <t>FCF Yield</t>
  </si>
  <si>
    <t>Last Updated</t>
  </si>
  <si>
    <t>Bull</t>
  </si>
  <si>
    <t>% yoy</t>
  </si>
  <si>
    <t>Base</t>
  </si>
  <si>
    <t>Bear</t>
  </si>
  <si>
    <t>Cap Table</t>
  </si>
  <si>
    <t>Current Price</t>
  </si>
  <si>
    <t>% margin</t>
  </si>
  <si>
    <t>Total Debt</t>
  </si>
  <si>
    <t>Adjusted EPS</t>
  </si>
  <si>
    <t>Implied equity value/share</t>
  </si>
  <si>
    <t xml:space="preserve">Upside/(Downside) to DCF </t>
  </si>
  <si>
    <t>Net Debt</t>
  </si>
  <si>
    <t>Street EPS</t>
  </si>
  <si>
    <t>NCI</t>
  </si>
  <si>
    <t>Expected Delta</t>
  </si>
  <si>
    <t>EV/Sales</t>
  </si>
  <si>
    <t>EV/EBITDA</t>
  </si>
  <si>
    <t>Trim</t>
  </si>
  <si>
    <t>Normalized FCF</t>
  </si>
  <si>
    <t>FCF / Share</t>
  </si>
  <si>
    <t>Street P/E</t>
  </si>
  <si>
    <t>% yield</t>
  </si>
  <si>
    <t>3 Year Target</t>
  </si>
  <si>
    <t>2026 EPS</t>
  </si>
  <si>
    <t>Target P/E</t>
  </si>
  <si>
    <t>x money multiple</t>
  </si>
  <si>
    <t>BUY</t>
  </si>
  <si>
    <t>% IRR</t>
  </si>
  <si>
    <t>12 Months Base Target</t>
  </si>
  <si>
    <t>Add</t>
  </si>
  <si>
    <t>2024 EPS</t>
  </si>
  <si>
    <t>EOY Target Price</t>
  </si>
  <si>
    <t>No brainer</t>
  </si>
  <si>
    <t>12 Months Risk Case</t>
  </si>
  <si>
    <t>2024 Risk EPS</t>
  </si>
  <si>
    <t>Next 12 Months Risk</t>
  </si>
  <si>
    <t>ROIC</t>
  </si>
  <si>
    <t>ABNB  07-24-2024</t>
  </si>
  <si>
    <t>Costs and expenses:</t>
  </si>
  <si>
    <t>Cost of revenue</t>
  </si>
  <si>
    <t>Operations and support</t>
  </si>
  <si>
    <t>Product development</t>
  </si>
  <si>
    <t>Sales and marketing</t>
  </si>
  <si>
    <t>General and administrative</t>
  </si>
  <si>
    <t>Restructuring charges</t>
  </si>
  <si>
    <t>Total costs and expenses</t>
  </si>
  <si>
    <t>Interest income</t>
  </si>
  <si>
    <t>Interest expense</t>
  </si>
  <si>
    <t>Other income (expense), net</t>
  </si>
  <si>
    <t>Income (loss) before income taxes</t>
  </si>
  <si>
    <t>Provision for (benefit from) income taxes</t>
  </si>
  <si>
    <t>Impairment of long-lived assets</t>
  </si>
  <si>
    <t>Loss from extinguishment of debt</t>
  </si>
  <si>
    <t>Other, net</t>
  </si>
  <si>
    <t>Changes in operating assets and liabilities, net of acquisitions:</t>
  </si>
  <si>
    <t>Prepaids and other assets</t>
  </si>
  <si>
    <t>Accrued expenses and other liabilities</t>
  </si>
  <si>
    <t>Unearned fees</t>
  </si>
  <si>
    <t>Purchases of short-term investments</t>
  </si>
  <si>
    <t>Sales and maturities of short-term investments</t>
  </si>
  <si>
    <t>Other investing activies, net</t>
  </si>
  <si>
    <t>Net cash used in investing activites</t>
  </si>
  <si>
    <t>Tax paid related to net shares settlement of equity awards</t>
  </si>
  <si>
    <t>Principal repayment of long-term debt</t>
  </si>
  <si>
    <t>Prepayment penalty on long-term debt</t>
  </si>
  <si>
    <t>Proceeds from issuance of convertible senior notes, net of issuance costs</t>
  </si>
  <si>
    <t>Purchases of capped calls related to convertible senior notes</t>
  </si>
  <si>
    <t>Proceeds from exercise of equity awards and employee stock purchase plan</t>
  </si>
  <si>
    <t>Repurchase of common stock</t>
  </si>
  <si>
    <t>Change in funds payable and amounts payable to customers</t>
  </si>
  <si>
    <t>Net cash provided by (used in) financing activities</t>
  </si>
  <si>
    <t>Effect of exchange rate changes on cash, cash equivalents, and restricted cas</t>
  </si>
  <si>
    <t>Net increase in cash, cash equivalents, and restricted cash</t>
  </si>
  <si>
    <t>Cash, cash equivalents, and restricted cash, beginning of year</t>
  </si>
  <si>
    <t>Cash, cash equivalents, and restricted cash, end of year</t>
  </si>
  <si>
    <t>Bad debt expense</t>
  </si>
  <si>
    <t>Deferred income tax</t>
  </si>
  <si>
    <t>Impairment of investments</t>
  </si>
  <si>
    <t>(Gain) loss on investments, net</t>
  </si>
  <si>
    <t>Change in fiar value of warrant liability</t>
  </si>
  <si>
    <t>Amortization of debt discount and debt issuance costs</t>
  </si>
  <si>
    <t>Noncash interest expense, net</t>
  </si>
  <si>
    <t>Foreign exchange (gain) loss</t>
  </si>
  <si>
    <t>Operating lease right-of-use assets</t>
  </si>
  <si>
    <t>Account payable</t>
  </si>
  <si>
    <t>Purchases of property and equipment</t>
  </si>
  <si>
    <t>Proceeds from issuance of common stock upon initital public offering, net of underwriting discounts and offering costs</t>
  </si>
  <si>
    <t>Proceeds from issuance of long-term debt and warrants, net of issuance costs</t>
  </si>
  <si>
    <t>Other financing activities, net</t>
  </si>
  <si>
    <t>Europe, the Middle East, and Africa</t>
  </si>
  <si>
    <t>In 2020 Q4, there was a second lockdown and huge investment in product development, either spending too much on sales and marketing or general administrative.</t>
  </si>
  <si>
    <t>Airbnb DCF</t>
  </si>
  <si>
    <t>ABNB</t>
  </si>
  <si>
    <t>% of total rev</t>
  </si>
  <si>
    <t>%</t>
  </si>
  <si>
    <t>‘24</t>
  </si>
  <si>
    <t>’25</t>
  </si>
  <si>
    <t>Trading Multiples</t>
  </si>
  <si>
    <t>Multiples</t>
  </si>
  <si>
    <t>TV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</si>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</sst>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_(\$* #,##0.0_);_(\$* \(#,##0.0\);_(\$* &quot;-&quot;_);_(@_)"/>
    <numFmt numFmtId="165" formatCode="_(#,##0.0_);_(\(#,##0.0\);_(&quot;-&quot;_);_(@_)"/>
    <numFmt numFmtId="166" formatCode="0.0%"/>
    <numFmt numFmtId="167" formatCode="0%;\(0%\)"/>
    <numFmt numFmtId="168" formatCode="0.0\x"/>
    <numFmt numFmtId="169" formatCode="_([$$-409]* #,##0.00_);_([$$-409]* \(#,##0.00\);_([$$-409]* &quot;-&quot;??_);_(@_)"/>
    <numFmt numFmtId="170" formatCode="m/d/yy;@"/>
    <numFmt numFmtId="171" formatCode="&quot;$&quot;#,##0.00"/>
    <numFmt numFmtId="172" formatCode="0&quot;E&quot;"/>
    <numFmt numFmtId="173" formatCode="#,##0.0_);\(#,##0.0\)"/>
    <numFmt numFmtId="174" formatCode="#,##0.0%_);\(#,##0.0%\)"/>
    <numFmt numFmtId="175" formatCode="0000\A"/>
    <numFmt numFmtId="176" formatCode="0000\E"/>
    <numFmt numFmtId="177" formatCode="#,##0.0\x"/>
    <numFmt numFmtId="178" formatCode="0.0\x_);\(0.0\x\)_)"/>
    <numFmt numFmtId="179" formatCode="#,##0.0%;\(#,##0.0%\);&quot;0.0%&quot;;@"/>
    <numFmt numFmtId="180" formatCode="_(* #,##0_);_(* \(#,##0\);_(* &quot;-&quot;??_);_(@_)"/>
    <numFmt numFmtId="181" formatCode="&quot;$&quot;#,##0.0_);\(&quot;$&quot;#,##0.0\)"/>
    <numFmt numFmtId="182" formatCode="0.0\x;\(0.0\x\);&quot;–&quot;"/>
    <numFmt numFmtId="183" formatCode="#,##0%;\(#,##0%\);&quot;0.0%&quot;;@"/>
    <numFmt numFmtId="184" formatCode="0.0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007D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sz val="10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5" tint="-0.24997711111789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8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0C0C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4" fillId="12" borderId="0" applyNumberFormat="0" applyBorder="0" applyAlignment="0" applyProtection="0"/>
    <xf numFmtId="0" fontId="15" fillId="13" borderId="12" applyNumberFormat="0" applyAlignment="0" applyProtection="0"/>
    <xf numFmtId="0" fontId="25" fillId="0" borderId="0"/>
    <xf numFmtId="0" fontId="47" fillId="0" borderId="0"/>
    <xf numFmtId="44" fontId="47" fillId="0" borderId="0" applyFont="0" applyFill="0" applyBorder="0" applyAlignment="0" applyProtection="0"/>
    <xf numFmtId="9" fontId="47" fillId="0" borderId="0" applyFont="0" applyFill="0" applyBorder="0" applyAlignment="0" applyProtection="0"/>
  </cellStyleXfs>
  <cellXfs count="404">
    <xf numFmtId="0" fontId="0" fillId="0" borderId="0" xfId="0"/>
    <xf numFmtId="0" fontId="2" fillId="0" borderId="0" xfId="0" applyFont="1"/>
    <xf numFmtId="166" fontId="0" fillId="0" borderId="0" xfId="1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0" fontId="0" fillId="0" borderId="5" xfId="0" applyBorder="1"/>
    <xf numFmtId="10" fontId="0" fillId="0" borderId="0" xfId="1" applyNumberFormat="1" applyFont="1" applyFill="1" applyBorder="1"/>
    <xf numFmtId="10" fontId="1" fillId="0" borderId="0" xfId="1" applyNumberFormat="1" applyFont="1" applyFill="1" applyBorder="1"/>
    <xf numFmtId="10" fontId="0" fillId="0" borderId="5" xfId="1" applyNumberFormat="1" applyFont="1" applyFill="1" applyBorder="1"/>
    <xf numFmtId="0" fontId="0" fillId="0" borderId="6" xfId="0" applyBorder="1"/>
    <xf numFmtId="164" fontId="0" fillId="0" borderId="7" xfId="0" applyNumberFormat="1" applyBorder="1"/>
    <xf numFmtId="10" fontId="0" fillId="0" borderId="7" xfId="1" applyNumberFormat="1" applyFont="1" applyFill="1" applyBorder="1"/>
    <xf numFmtId="0" fontId="0" fillId="0" borderId="7" xfId="0" applyBorder="1"/>
    <xf numFmtId="10" fontId="1" fillId="0" borderId="7" xfId="1" applyNumberFormat="1" applyFont="1" applyFill="1" applyBorder="1"/>
    <xf numFmtId="10" fontId="0" fillId="0" borderId="8" xfId="1" applyNumberFormat="1" applyFont="1" applyFill="1" applyBorder="1"/>
    <xf numFmtId="0" fontId="4" fillId="0" borderId="7" xfId="2" applyBorder="1" applyAlignment="1">
      <alignment horizontal="center"/>
    </xf>
    <xf numFmtId="0" fontId="5" fillId="0" borderId="7" xfId="2" applyFont="1" applyBorder="1"/>
    <xf numFmtId="0" fontId="4" fillId="0" borderId="7" xfId="2" applyBorder="1"/>
    <xf numFmtId="0" fontId="6" fillId="0" borderId="7" xfId="2" applyFont="1" applyBorder="1" applyAlignment="1">
      <alignment horizontal="center"/>
    </xf>
    <xf numFmtId="0" fontId="4" fillId="0" borderId="0" xfId="2" applyAlignment="1">
      <alignment horizontal="center"/>
    </xf>
    <xf numFmtId="0" fontId="7" fillId="0" borderId="0" xfId="2" applyFont="1"/>
    <xf numFmtId="14" fontId="4" fillId="3" borderId="9" xfId="2" applyNumberFormat="1" applyFill="1" applyBorder="1" applyAlignment="1">
      <alignment horizontal="center"/>
    </xf>
    <xf numFmtId="0" fontId="4" fillId="0" borderId="0" xfId="2"/>
    <xf numFmtId="0" fontId="6" fillId="0" borderId="0" xfId="2" applyFont="1"/>
    <xf numFmtId="0" fontId="0" fillId="3" borderId="9" xfId="2" applyFont="1" applyFill="1" applyBorder="1" applyAlignment="1">
      <alignment horizontal="center"/>
    </xf>
    <xf numFmtId="0" fontId="7" fillId="4" borderId="0" xfId="2" applyFont="1" applyFill="1" applyAlignment="1">
      <alignment vertical="center"/>
    </xf>
    <xf numFmtId="0" fontId="4" fillId="4" borderId="0" xfId="2" applyFill="1" applyAlignment="1">
      <alignment horizontal="right" vertical="center"/>
    </xf>
    <xf numFmtId="0" fontId="7" fillId="4" borderId="0" xfId="2" applyFont="1" applyFill="1" applyAlignment="1">
      <alignment horizontal="center" vertical="center"/>
    </xf>
    <xf numFmtId="0" fontId="8" fillId="4" borderId="0" xfId="2" applyFont="1" applyFill="1" applyAlignment="1">
      <alignment horizontal="centerContinuous" vertical="center"/>
    </xf>
    <xf numFmtId="0" fontId="7" fillId="4" borderId="7" xfId="2" applyFont="1" applyFill="1" applyBorder="1" applyAlignment="1">
      <alignment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7" xfId="2" quotePrefix="1" applyFont="1" applyFill="1" applyBorder="1" applyAlignment="1">
      <alignment horizontal="center" vertical="center"/>
    </xf>
    <xf numFmtId="0" fontId="7" fillId="0" borderId="0" xfId="2" applyFont="1" applyAlignment="1">
      <alignment vertical="center"/>
    </xf>
    <xf numFmtId="0" fontId="7" fillId="0" borderId="0" xfId="2" applyFont="1" applyAlignment="1">
      <alignment horizontal="center" vertical="center"/>
    </xf>
    <xf numFmtId="0" fontId="7" fillId="0" borderId="0" xfId="2" quotePrefix="1" applyFont="1" applyAlignment="1">
      <alignment horizontal="center" vertical="center"/>
    </xf>
    <xf numFmtId="0" fontId="9" fillId="0" borderId="10" xfId="2" applyFont="1" applyBorder="1"/>
    <xf numFmtId="0" fontId="4" fillId="0" borderId="11" xfId="2" applyBorder="1"/>
    <xf numFmtId="3" fontId="4" fillId="0" borderId="11" xfId="2" applyNumberFormat="1" applyBorder="1" applyAlignment="1">
      <alignment horizontal="center" vertical="center"/>
    </xf>
    <xf numFmtId="167" fontId="0" fillId="0" borderId="11" xfId="3" applyNumberFormat="1" applyFont="1" applyBorder="1" applyAlignment="1">
      <alignment horizontal="center"/>
    </xf>
    <xf numFmtId="167" fontId="10" fillId="0" borderId="11" xfId="3" applyNumberFormat="1" applyFont="1" applyFill="1" applyBorder="1" applyAlignment="1">
      <alignment horizontal="center"/>
    </xf>
    <xf numFmtId="168" fontId="4" fillId="0" borderId="11" xfId="2" applyNumberFormat="1" applyBorder="1" applyAlignment="1">
      <alignment horizontal="center"/>
    </xf>
    <xf numFmtId="0" fontId="9" fillId="0" borderId="0" xfId="2" applyFont="1"/>
    <xf numFmtId="0" fontId="4" fillId="0" borderId="2" xfId="2" applyBorder="1"/>
    <xf numFmtId="3" fontId="4" fillId="0" borderId="0" xfId="2" applyNumberFormat="1" applyAlignment="1">
      <alignment horizontal="center"/>
    </xf>
    <xf numFmtId="3" fontId="4" fillId="0" borderId="0" xfId="2" applyNumberFormat="1" applyAlignment="1">
      <alignment horizontal="center" vertical="center"/>
    </xf>
    <xf numFmtId="167" fontId="0" fillId="0" borderId="0" xfId="3" applyNumberFormat="1" applyFont="1" applyBorder="1" applyAlignment="1">
      <alignment horizontal="center"/>
    </xf>
    <xf numFmtId="168" fontId="4" fillId="0" borderId="0" xfId="2" applyNumberFormat="1" applyAlignment="1">
      <alignment horizontal="center"/>
    </xf>
    <xf numFmtId="167" fontId="0" fillId="0" borderId="0" xfId="3" applyNumberFormat="1" applyFont="1" applyAlignment="1">
      <alignment horizontal="center"/>
    </xf>
    <xf numFmtId="0" fontId="7" fillId="5" borderId="1" xfId="2" applyFont="1" applyFill="1" applyBorder="1"/>
    <xf numFmtId="0" fontId="4" fillId="5" borderId="2" xfId="2" applyFill="1" applyBorder="1"/>
    <xf numFmtId="167" fontId="7" fillId="5" borderId="2" xfId="2" applyNumberFormat="1" applyFont="1" applyFill="1" applyBorder="1" applyAlignment="1">
      <alignment horizontal="center"/>
    </xf>
    <xf numFmtId="168" fontId="7" fillId="5" borderId="2" xfId="2" applyNumberFormat="1" applyFont="1" applyFill="1" applyBorder="1" applyAlignment="1">
      <alignment horizontal="center"/>
    </xf>
    <xf numFmtId="0" fontId="7" fillId="5" borderId="6" xfId="2" applyFont="1" applyFill="1" applyBorder="1"/>
    <xf numFmtId="0" fontId="4" fillId="5" borderId="7" xfId="2" applyFill="1" applyBorder="1"/>
    <xf numFmtId="167" fontId="7" fillId="5" borderId="7" xfId="2" applyNumberFormat="1" applyFont="1" applyFill="1" applyBorder="1" applyAlignment="1">
      <alignment horizontal="center"/>
    </xf>
    <xf numFmtId="168" fontId="7" fillId="5" borderId="7" xfId="2" applyNumberFormat="1" applyFont="1" applyFill="1" applyBorder="1" applyAlignment="1">
      <alignment horizontal="center"/>
    </xf>
    <xf numFmtId="0" fontId="10" fillId="0" borderId="0" xfId="2" applyFont="1" applyAlignment="1">
      <alignment horizontal="center"/>
    </xf>
    <xf numFmtId="168" fontId="4" fillId="0" borderId="0" xfId="2" applyNumberFormat="1" applyAlignment="1">
      <alignment horizontal="center" vertical="center"/>
    </xf>
    <xf numFmtId="4" fontId="9" fillId="0" borderId="0" xfId="2" applyNumberFormat="1" applyFont="1" applyAlignment="1">
      <alignment horizontal="center" vertical="center"/>
    </xf>
    <xf numFmtId="3" fontId="9" fillId="0" borderId="0" xfId="2" applyNumberFormat="1" applyFont="1" applyAlignment="1">
      <alignment horizontal="center" vertical="center"/>
    </xf>
    <xf numFmtId="1" fontId="9" fillId="0" borderId="0" xfId="2" quotePrefix="1" applyNumberFormat="1" applyFont="1" applyAlignment="1">
      <alignment horizontal="center" vertical="center"/>
    </xf>
    <xf numFmtId="3" fontId="4" fillId="0" borderId="0" xfId="2" applyNumberFormat="1"/>
    <xf numFmtId="3" fontId="4" fillId="0" borderId="0" xfId="2" quotePrefix="1" applyNumberFormat="1" applyAlignment="1">
      <alignment horizontal="center" vertical="center"/>
    </xf>
    <xf numFmtId="169" fontId="4" fillId="0" borderId="0" xfId="2" quotePrefix="1" applyNumberFormat="1" applyAlignment="1">
      <alignment vertical="center"/>
    </xf>
    <xf numFmtId="1" fontId="4" fillId="0" borderId="0" xfId="2" quotePrefix="1" applyNumberFormat="1" applyAlignment="1">
      <alignment horizontal="center" vertical="center"/>
    </xf>
    <xf numFmtId="0" fontId="11" fillId="6" borderId="0" xfId="2" applyFont="1" applyFill="1" applyAlignment="1">
      <alignment horizontal="center"/>
    </xf>
    <xf numFmtId="0" fontId="12" fillId="6" borderId="0" xfId="2" applyFont="1" applyFill="1" applyAlignment="1">
      <alignment vertical="center"/>
    </xf>
    <xf numFmtId="168" fontId="11" fillId="6" borderId="0" xfId="2" applyNumberFormat="1" applyFont="1" applyFill="1" applyAlignment="1">
      <alignment horizontal="center" vertical="center"/>
    </xf>
    <xf numFmtId="0" fontId="12" fillId="6" borderId="0" xfId="2" applyFont="1" applyFill="1" applyAlignment="1">
      <alignment horizontal="center" vertical="center"/>
    </xf>
    <xf numFmtId="3" fontId="11" fillId="6" borderId="0" xfId="2" applyNumberFormat="1" applyFont="1" applyFill="1" applyAlignment="1">
      <alignment horizontal="center" vertical="center"/>
    </xf>
    <xf numFmtId="0" fontId="11" fillId="6" borderId="0" xfId="2" applyFont="1" applyFill="1"/>
    <xf numFmtId="1" fontId="11" fillId="6" borderId="0" xfId="2" quotePrefix="1" applyNumberFormat="1" applyFont="1" applyFill="1" applyAlignment="1">
      <alignment horizontal="center" vertical="center"/>
    </xf>
    <xf numFmtId="0" fontId="12" fillId="6" borderId="0" xfId="2" quotePrefix="1" applyFont="1" applyFill="1" applyAlignment="1">
      <alignment horizontal="center" vertical="center"/>
    </xf>
    <xf numFmtId="0" fontId="13" fillId="0" borderId="0" xfId="2" applyFont="1" applyAlignment="1">
      <alignment horizontal="left"/>
    </xf>
    <xf numFmtId="0" fontId="13" fillId="0" borderId="0" xfId="2" applyFont="1" applyAlignment="1">
      <alignment horizontal="center"/>
    </xf>
    <xf numFmtId="0" fontId="4" fillId="7" borderId="0" xfId="2" applyFill="1"/>
    <xf numFmtId="4" fontId="4" fillId="0" borderId="0" xfId="2" applyNumberFormat="1" applyAlignment="1">
      <alignment horizontal="center"/>
    </xf>
    <xf numFmtId="0" fontId="1" fillId="0" borderId="0" xfId="4"/>
    <xf numFmtId="0" fontId="4" fillId="8" borderId="0" xfId="2" applyFill="1"/>
    <xf numFmtId="0" fontId="4" fillId="9" borderId="0" xfId="2" applyFill="1"/>
    <xf numFmtId="0" fontId="4" fillId="10" borderId="0" xfId="2" applyFill="1"/>
    <xf numFmtId="3" fontId="4" fillId="0" borderId="0" xfId="2" applyNumberFormat="1" applyAlignment="1">
      <alignment horizontal="center" vertical="justify"/>
    </xf>
    <xf numFmtId="0" fontId="4" fillId="0" borderId="0" xfId="2" applyAlignment="1">
      <alignment horizontal="center" vertical="top"/>
    </xf>
    <xf numFmtId="10" fontId="4" fillId="0" borderId="0" xfId="5" applyNumberFormat="1" applyFont="1" applyAlignment="1">
      <alignment horizontal="center" vertical="center"/>
    </xf>
    <xf numFmtId="3" fontId="4" fillId="11" borderId="0" xfId="2" applyNumberFormat="1" applyFill="1" applyAlignment="1">
      <alignment horizontal="center" vertical="center"/>
    </xf>
    <xf numFmtId="166" fontId="4" fillId="0" borderId="0" xfId="5" applyNumberFormat="1" applyFont="1" applyAlignment="1">
      <alignment horizontal="center" vertical="center"/>
    </xf>
    <xf numFmtId="3" fontId="4" fillId="0" borderId="0" xfId="2" applyNumberFormat="1" applyAlignment="1">
      <alignment vertical="center"/>
    </xf>
    <xf numFmtId="0" fontId="4" fillId="0" borderId="0" xfId="2" applyAlignment="1">
      <alignment horizontal="center" vertical="center" wrapText="1"/>
    </xf>
    <xf numFmtId="0" fontId="4" fillId="0" borderId="0" xfId="2" applyAlignment="1">
      <alignment vertical="center" wrapText="1"/>
    </xf>
    <xf numFmtId="0" fontId="18" fillId="0" borderId="0" xfId="0" applyFont="1"/>
    <xf numFmtId="0" fontId="19" fillId="0" borderId="0" xfId="0" applyFont="1"/>
    <xf numFmtId="7" fontId="20" fillId="0" borderId="0" xfId="0" applyNumberFormat="1" applyFont="1" applyAlignment="1">
      <alignment horizontal="center"/>
    </xf>
    <xf numFmtId="7" fontId="20" fillId="14" borderId="0" xfId="0" applyNumberFormat="1" applyFont="1" applyFill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16" fillId="15" borderId="10" xfId="0" applyFont="1" applyFill="1" applyBorder="1" applyAlignment="1">
      <alignment horizontal="center"/>
    </xf>
    <xf numFmtId="170" fontId="0" fillId="0" borderId="0" xfId="0" applyNumberFormat="1"/>
    <xf numFmtId="170" fontId="0" fillId="0" borderId="0" xfId="0" applyNumberFormat="1" applyAlignment="1">
      <alignment horizontal="left" indent="1"/>
    </xf>
    <xf numFmtId="170" fontId="0" fillId="0" borderId="0" xfId="0" applyNumberFormat="1" applyAlignment="1">
      <alignment horizontal="center"/>
    </xf>
    <xf numFmtId="170" fontId="0" fillId="14" borderId="0" xfId="0" applyNumberFormat="1" applyFill="1" applyAlignment="1">
      <alignment horizontal="center"/>
    </xf>
    <xf numFmtId="170" fontId="21" fillId="0" borderId="0" xfId="0" applyNumberFormat="1" applyFont="1" applyAlignment="1">
      <alignment horizontal="center"/>
    </xf>
    <xf numFmtId="170" fontId="21" fillId="14" borderId="0" xfId="0" applyNumberFormat="1" applyFont="1" applyFill="1" applyAlignment="1">
      <alignment horizontal="center"/>
    </xf>
    <xf numFmtId="170" fontId="22" fillId="0" borderId="0" xfId="0" applyNumberFormat="1" applyFont="1" applyAlignment="1">
      <alignment horizontal="center"/>
    </xf>
    <xf numFmtId="170" fontId="22" fillId="14" borderId="0" xfId="0" applyNumberFormat="1" applyFont="1" applyFill="1" applyAlignment="1">
      <alignment horizontal="center"/>
    </xf>
    <xf numFmtId="170" fontId="23" fillId="14" borderId="0" xfId="0" applyNumberFormat="1" applyFont="1" applyFill="1" applyAlignment="1">
      <alignment horizontal="center"/>
    </xf>
    <xf numFmtId="0" fontId="0" fillId="0" borderId="0" xfId="0" applyAlignment="1">
      <alignment horizontal="left" indent="1"/>
    </xf>
    <xf numFmtId="37" fontId="0" fillId="0" borderId="0" xfId="0" applyNumberFormat="1" applyAlignment="1">
      <alignment horizontal="center"/>
    </xf>
    <xf numFmtId="37" fontId="0" fillId="14" borderId="0" xfId="0" applyNumberFormat="1" applyFill="1" applyAlignment="1">
      <alignment horizontal="center"/>
    </xf>
    <xf numFmtId="37" fontId="21" fillId="0" borderId="0" xfId="0" applyNumberFormat="1" applyFont="1" applyAlignment="1">
      <alignment horizontal="center"/>
    </xf>
    <xf numFmtId="37" fontId="21" fillId="14" borderId="0" xfId="0" applyNumberFormat="1" applyFont="1" applyFill="1" applyAlignment="1">
      <alignment horizontal="center"/>
    </xf>
    <xf numFmtId="37" fontId="22" fillId="0" borderId="0" xfId="0" applyNumberFormat="1" applyFont="1" applyAlignment="1">
      <alignment horizontal="center"/>
    </xf>
    <xf numFmtId="37" fontId="22" fillId="14" borderId="0" xfId="0" applyNumberFormat="1" applyFont="1" applyFill="1" applyAlignment="1">
      <alignment horizontal="center"/>
    </xf>
    <xf numFmtId="37" fontId="23" fillId="14" borderId="0" xfId="0" applyNumberFormat="1" applyFont="1" applyFill="1" applyAlignment="1">
      <alignment horizontal="center"/>
    </xf>
    <xf numFmtId="0" fontId="16" fillId="16" borderId="0" xfId="0" applyFont="1" applyFill="1"/>
    <xf numFmtId="0" fontId="0" fillId="16" borderId="0" xfId="0" applyFill="1"/>
    <xf numFmtId="0" fontId="22" fillId="16" borderId="0" xfId="0" applyFont="1" applyFill="1"/>
    <xf numFmtId="0" fontId="2" fillId="0" borderId="0" xfId="0" applyFont="1" applyAlignment="1">
      <alignment horizontal="left" indent="1"/>
    </xf>
    <xf numFmtId="37" fontId="2" fillId="0" borderId="0" xfId="0" applyNumberFormat="1" applyFont="1" applyAlignment="1">
      <alignment horizontal="center"/>
    </xf>
    <xf numFmtId="37" fontId="2" fillId="14" borderId="0" xfId="0" applyNumberFormat="1" applyFont="1" applyFill="1" applyAlignment="1">
      <alignment horizontal="center"/>
    </xf>
    <xf numFmtId="37" fontId="24" fillId="14" borderId="0" xfId="0" applyNumberFormat="1" applyFont="1" applyFill="1" applyAlignment="1">
      <alignment horizontal="center"/>
    </xf>
    <xf numFmtId="7" fontId="20" fillId="17" borderId="0" xfId="0" applyNumberFormat="1" applyFont="1" applyFill="1" applyAlignment="1">
      <alignment horizontal="center"/>
    </xf>
    <xf numFmtId="0" fontId="16" fillId="2" borderId="10" xfId="0" applyFont="1" applyFill="1" applyBorder="1" applyAlignment="1">
      <alignment horizontal="center"/>
    </xf>
    <xf numFmtId="170" fontId="0" fillId="17" borderId="0" xfId="0" applyNumberFormat="1" applyFill="1" applyAlignment="1">
      <alignment horizontal="center"/>
    </xf>
    <xf numFmtId="170" fontId="21" fillId="17" borderId="0" xfId="0" applyNumberFormat="1" applyFont="1" applyFill="1" applyAlignment="1">
      <alignment horizontal="center"/>
    </xf>
    <xf numFmtId="170" fontId="22" fillId="17" borderId="0" xfId="0" applyNumberFormat="1" applyFont="1" applyFill="1" applyAlignment="1">
      <alignment horizontal="center"/>
    </xf>
    <xf numFmtId="170" fontId="23" fillId="17" borderId="0" xfId="0" applyNumberFormat="1" applyFont="1" applyFill="1" applyAlignment="1">
      <alignment horizontal="center"/>
    </xf>
    <xf numFmtId="37" fontId="0" fillId="17" borderId="0" xfId="0" applyNumberFormat="1" applyFill="1" applyAlignment="1">
      <alignment horizontal="center"/>
    </xf>
    <xf numFmtId="37" fontId="21" fillId="17" borderId="0" xfId="0" applyNumberFormat="1" applyFont="1" applyFill="1" applyAlignment="1">
      <alignment horizontal="center"/>
    </xf>
    <xf numFmtId="37" fontId="22" fillId="17" borderId="0" xfId="0" applyNumberFormat="1" applyFont="1" applyFill="1" applyAlignment="1">
      <alignment horizontal="center"/>
    </xf>
    <xf numFmtId="37" fontId="23" fillId="17" borderId="0" xfId="0" applyNumberFormat="1" applyFont="1" applyFill="1" applyAlignment="1">
      <alignment horizontal="center"/>
    </xf>
    <xf numFmtId="0" fontId="26" fillId="0" borderId="0" xfId="8" applyFont="1" applyAlignment="1">
      <alignment horizontal="left" indent="1"/>
    </xf>
    <xf numFmtId="37" fontId="26" fillId="17" borderId="0" xfId="0" quotePrefix="1" applyNumberFormat="1" applyFont="1" applyFill="1" applyAlignment="1">
      <alignment horizontal="center"/>
    </xf>
    <xf numFmtId="37" fontId="26" fillId="17" borderId="0" xfId="0" applyNumberFormat="1" applyFont="1" applyFill="1" applyAlignment="1">
      <alignment horizontal="center"/>
    </xf>
    <xf numFmtId="10" fontId="26" fillId="17" borderId="0" xfId="1" applyNumberFormat="1" applyFont="1" applyFill="1" applyAlignment="1">
      <alignment horizontal="center"/>
    </xf>
    <xf numFmtId="0" fontId="2" fillId="0" borderId="11" xfId="0" applyFont="1" applyBorder="1"/>
    <xf numFmtId="0" fontId="2" fillId="0" borderId="11" xfId="0" applyFont="1" applyBorder="1" applyAlignment="1">
      <alignment horizontal="left" indent="1"/>
    </xf>
    <xf numFmtId="37" fontId="2" fillId="0" borderId="11" xfId="0" applyNumberFormat="1" applyFont="1" applyBorder="1" applyAlignment="1">
      <alignment horizontal="center"/>
    </xf>
    <xf numFmtId="37" fontId="2" fillId="17" borderId="11" xfId="0" applyNumberFormat="1" applyFont="1" applyFill="1" applyBorder="1" applyAlignment="1">
      <alignment horizontal="center"/>
    </xf>
    <xf numFmtId="37" fontId="18" fillId="17" borderId="11" xfId="0" applyNumberFormat="1" applyFont="1" applyFill="1" applyBorder="1" applyAlignment="1">
      <alignment horizontal="center"/>
    </xf>
    <xf numFmtId="37" fontId="18" fillId="17" borderId="0" xfId="0" applyNumberFormat="1" applyFont="1" applyFill="1" applyAlignment="1">
      <alignment horizontal="center"/>
    </xf>
    <xf numFmtId="37" fontId="24" fillId="17" borderId="11" xfId="0" applyNumberFormat="1" applyFont="1" applyFill="1" applyBorder="1" applyAlignment="1">
      <alignment horizontal="center"/>
    </xf>
    <xf numFmtId="10" fontId="23" fillId="17" borderId="0" xfId="1" applyNumberFormat="1" applyFont="1" applyFill="1" applyAlignment="1">
      <alignment horizontal="center"/>
    </xf>
    <xf numFmtId="10" fontId="26" fillId="17" borderId="0" xfId="1" quotePrefix="1" applyNumberFormat="1" applyFont="1" applyFill="1" applyAlignment="1">
      <alignment horizontal="center"/>
    </xf>
    <xf numFmtId="39" fontId="0" fillId="17" borderId="0" xfId="0" applyNumberFormat="1" applyFill="1" applyAlignment="1">
      <alignment horizontal="center"/>
    </xf>
    <xf numFmtId="39" fontId="0" fillId="17" borderId="0" xfId="0" quotePrefix="1" applyNumberFormat="1" applyFill="1" applyAlignment="1">
      <alignment horizontal="center"/>
    </xf>
    <xf numFmtId="10" fontId="0" fillId="17" borderId="0" xfId="1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27" fillId="0" borderId="0" xfId="8" applyFont="1" applyAlignment="1">
      <alignment horizontal="left" indent="1"/>
    </xf>
    <xf numFmtId="0" fontId="28" fillId="0" borderId="0" xfId="8" applyFont="1" applyAlignment="1">
      <alignment horizontal="left" indent="1"/>
    </xf>
    <xf numFmtId="0" fontId="29" fillId="0" borderId="0" xfId="8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0" xfId="0" applyFont="1"/>
    <xf numFmtId="37" fontId="30" fillId="0" borderId="0" xfId="0" applyNumberFormat="1" applyFont="1" applyAlignment="1">
      <alignment horizontal="center"/>
    </xf>
    <xf numFmtId="10" fontId="29" fillId="17" borderId="0" xfId="1" applyNumberFormat="1" applyFont="1" applyFill="1" applyAlignment="1">
      <alignment horizontal="center"/>
    </xf>
    <xf numFmtId="37" fontId="24" fillId="17" borderId="0" xfId="0" applyNumberFormat="1" applyFont="1" applyFill="1" applyAlignment="1">
      <alignment horizontal="center"/>
    </xf>
    <xf numFmtId="39" fontId="24" fillId="18" borderId="0" xfId="0" applyNumberFormat="1" applyFont="1" applyFill="1" applyAlignment="1">
      <alignment horizontal="center"/>
    </xf>
    <xf numFmtId="0" fontId="2" fillId="19" borderId="0" xfId="0" applyFont="1" applyFill="1"/>
    <xf numFmtId="0" fontId="31" fillId="0" borderId="0" xfId="8" applyFont="1" applyAlignment="1">
      <alignment horizontal="left" indent="1"/>
    </xf>
    <xf numFmtId="0" fontId="0" fillId="17" borderId="0" xfId="0" applyFill="1"/>
    <xf numFmtId="0" fontId="32" fillId="19" borderId="0" xfId="0" applyFont="1" applyFill="1" applyAlignment="1">
      <alignment horizontal="left" vertical="center" wrapText="1"/>
    </xf>
    <xf numFmtId="0" fontId="0" fillId="19" borderId="0" xfId="0" applyFill="1"/>
    <xf numFmtId="0" fontId="33" fillId="0" borderId="0" xfId="0" applyFont="1"/>
    <xf numFmtId="0" fontId="0" fillId="17" borderId="0" xfId="0" quotePrefix="1" applyFill="1" applyAlignment="1">
      <alignment horizontal="right"/>
    </xf>
    <xf numFmtId="10" fontId="0" fillId="17" borderId="0" xfId="1" applyNumberFormat="1" applyFont="1" applyFill="1"/>
    <xf numFmtId="2" fontId="0" fillId="17" borderId="0" xfId="0" applyNumberFormat="1" applyFill="1"/>
    <xf numFmtId="39" fontId="23" fillId="17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5" fillId="0" borderId="7" xfId="0" applyFont="1" applyBorder="1"/>
    <xf numFmtId="0" fontId="34" fillId="0" borderId="7" xfId="0" applyFont="1" applyBorder="1"/>
    <xf numFmtId="0" fontId="34" fillId="0" borderId="0" xfId="0" applyFont="1"/>
    <xf numFmtId="0" fontId="0" fillId="3" borderId="9" xfId="0" applyFill="1" applyBorder="1" applyAlignment="1">
      <alignment horizontal="center"/>
    </xf>
    <xf numFmtId="171" fontId="2" fillId="0" borderId="0" xfId="0" applyNumberFormat="1" applyFont="1"/>
    <xf numFmtId="14" fontId="0" fillId="3" borderId="9" xfId="0" applyNumberFormat="1" applyFill="1" applyBorder="1" applyAlignment="1">
      <alignment horizontal="center"/>
    </xf>
    <xf numFmtId="167" fontId="2" fillId="8" borderId="0" xfId="1" applyNumberFormat="1" applyFont="1" applyFill="1"/>
    <xf numFmtId="0" fontId="16" fillId="20" borderId="0" xfId="0" applyFont="1" applyFill="1"/>
    <xf numFmtId="0" fontId="16" fillId="0" borderId="0" xfId="0" applyFont="1"/>
    <xf numFmtId="171" fontId="1" fillId="13" borderId="12" xfId="7" applyNumberFormat="1" applyFont="1"/>
    <xf numFmtId="166" fontId="1" fillId="13" borderId="12" xfId="7" applyNumberFormat="1" applyFont="1"/>
    <xf numFmtId="0" fontId="22" fillId="0" borderId="0" xfId="0" applyFont="1"/>
    <xf numFmtId="0" fontId="36" fillId="0" borderId="0" xfId="0" applyFont="1"/>
    <xf numFmtId="2" fontId="1" fillId="13" borderId="12" xfId="7" applyNumberFormat="1" applyFont="1"/>
    <xf numFmtId="0" fontId="0" fillId="0" borderId="0" xfId="0" applyAlignment="1">
      <alignment horizontal="left"/>
    </xf>
    <xf numFmtId="166" fontId="0" fillId="3" borderId="9" xfId="0" applyNumberFormat="1" applyFill="1" applyBorder="1" applyAlignment="1">
      <alignment horizontal="center"/>
    </xf>
    <xf numFmtId="10" fontId="0" fillId="3" borderId="9" xfId="1" applyNumberFormat="1" applyFont="1" applyFill="1" applyBorder="1" applyAlignment="1">
      <alignment horizontal="center"/>
    </xf>
    <xf numFmtId="10" fontId="0" fillId="3" borderId="9" xfId="0" applyNumberFormat="1" applyFill="1" applyBorder="1" applyAlignment="1">
      <alignment horizontal="center"/>
    </xf>
    <xf numFmtId="172" fontId="16" fillId="20" borderId="0" xfId="0" applyNumberFormat="1" applyFont="1" applyFill="1"/>
    <xf numFmtId="37" fontId="37" fillId="0" borderId="0" xfId="0" applyNumberFormat="1" applyFont="1"/>
    <xf numFmtId="37" fontId="38" fillId="0" borderId="0" xfId="0" applyNumberFormat="1" applyFont="1"/>
    <xf numFmtId="9" fontId="33" fillId="0" borderId="0" xfId="1" quotePrefix="1" applyFont="1" applyAlignment="1">
      <alignment horizontal="right"/>
    </xf>
    <xf numFmtId="166" fontId="33" fillId="0" borderId="0" xfId="1" applyNumberFormat="1" applyFont="1"/>
    <xf numFmtId="166" fontId="33" fillId="0" borderId="0" xfId="1" applyNumberFormat="1" applyFont="1" applyFill="1"/>
    <xf numFmtId="166" fontId="33" fillId="0" borderId="0" xfId="1" quotePrefix="1" applyNumberFormat="1" applyFont="1" applyAlignment="1">
      <alignment horizontal="right"/>
    </xf>
    <xf numFmtId="9" fontId="33" fillId="0" borderId="0" xfId="1" applyFont="1"/>
    <xf numFmtId="0" fontId="22" fillId="0" borderId="0" xfId="0" applyFont="1" applyAlignment="1">
      <alignment horizontal="center"/>
    </xf>
    <xf numFmtId="0" fontId="39" fillId="0" borderId="0" xfId="0" applyFont="1"/>
    <xf numFmtId="166" fontId="22" fillId="0" borderId="0" xfId="1" applyNumberFormat="1" applyFont="1"/>
    <xf numFmtId="37" fontId="16" fillId="20" borderId="0" xfId="0" applyNumberFormat="1" applyFont="1" applyFill="1"/>
    <xf numFmtId="37" fontId="40" fillId="0" borderId="0" xfId="0" applyNumberFormat="1" applyFont="1"/>
    <xf numFmtId="37" fontId="22" fillId="0" borderId="0" xfId="0" applyNumberFormat="1" applyFont="1"/>
    <xf numFmtId="166" fontId="41" fillId="3" borderId="9" xfId="0" applyNumberFormat="1" applyFont="1" applyFill="1" applyBorder="1" applyAlignment="1">
      <alignment horizontal="right"/>
    </xf>
    <xf numFmtId="37" fontId="40" fillId="0" borderId="0" xfId="0" applyNumberFormat="1" applyFont="1" applyAlignment="1">
      <alignment vertical="top"/>
    </xf>
    <xf numFmtId="166" fontId="0" fillId="0" borderId="0" xfId="0" applyNumberFormat="1"/>
    <xf numFmtId="166" fontId="22" fillId="0" borderId="0" xfId="0" applyNumberFormat="1" applyFont="1"/>
    <xf numFmtId="37" fontId="22" fillId="0" borderId="0" xfId="0" applyNumberFormat="1" applyFont="1" applyAlignment="1">
      <alignment vertical="top"/>
    </xf>
    <xf numFmtId="0" fontId="0" fillId="0" borderId="10" xfId="0" applyBorder="1"/>
    <xf numFmtId="0" fontId="0" fillId="0" borderId="11" xfId="0" applyBorder="1"/>
    <xf numFmtId="37" fontId="22" fillId="0" borderId="11" xfId="0" applyNumberFormat="1" applyFont="1" applyBorder="1"/>
    <xf numFmtId="37" fontId="22" fillId="0" borderId="13" xfId="0" applyNumberFormat="1" applyFont="1" applyBorder="1"/>
    <xf numFmtId="0" fontId="0" fillId="0" borderId="1" xfId="0" applyBorder="1"/>
    <xf numFmtId="0" fontId="0" fillId="0" borderId="2" xfId="0" applyBorder="1"/>
    <xf numFmtId="37" fontId="0" fillId="0" borderId="2" xfId="0" applyNumberFormat="1" applyBorder="1"/>
    <xf numFmtId="37" fontId="0" fillId="0" borderId="3" xfId="0" applyNumberFormat="1" applyBorder="1"/>
    <xf numFmtId="37" fontId="0" fillId="0" borderId="7" xfId="0" applyNumberFormat="1" applyBorder="1"/>
    <xf numFmtId="37" fontId="0" fillId="0" borderId="8" xfId="0" applyNumberFormat="1" applyBorder="1"/>
    <xf numFmtId="2" fontId="0" fillId="0" borderId="0" xfId="0" applyNumberFormat="1"/>
    <xf numFmtId="2" fontId="0" fillId="0" borderId="0" xfId="0" applyNumberFormat="1" applyAlignment="1">
      <alignment vertical="top"/>
    </xf>
    <xf numFmtId="37" fontId="0" fillId="0" borderId="0" xfId="0" applyNumberFormat="1"/>
    <xf numFmtId="173" fontId="22" fillId="0" borderId="0" xfId="0" applyNumberFormat="1" applyFont="1"/>
    <xf numFmtId="171" fontId="0" fillId="0" borderId="0" xfId="0" applyNumberFormat="1"/>
    <xf numFmtId="7" fontId="44" fillId="0" borderId="0" xfId="0" applyNumberFormat="1" applyFont="1"/>
    <xf numFmtId="0" fontId="24" fillId="21" borderId="0" xfId="0" applyFont="1" applyFill="1" applyAlignment="1">
      <alignment horizontal="right"/>
    </xf>
    <xf numFmtId="174" fontId="0" fillId="0" borderId="0" xfId="0" applyNumberFormat="1"/>
    <xf numFmtId="7" fontId="19" fillId="0" borderId="0" xfId="0" applyNumberFormat="1" applyFont="1"/>
    <xf numFmtId="175" fontId="18" fillId="4" borderId="0" xfId="0" applyNumberFormat="1" applyFont="1" applyFill="1" applyAlignment="1">
      <alignment horizontal="center"/>
    </xf>
    <xf numFmtId="176" fontId="18" fillId="4" borderId="0" xfId="0" applyNumberFormat="1" applyFont="1" applyFill="1" applyAlignment="1">
      <alignment horizontal="center"/>
    </xf>
    <xf numFmtId="176" fontId="18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176" fontId="18" fillId="4" borderId="0" xfId="0" applyNumberFormat="1" applyFont="1" applyFill="1" applyAlignment="1">
      <alignment horizontal="centerContinuous"/>
    </xf>
    <xf numFmtId="0" fontId="18" fillId="4" borderId="0" xfId="0" applyFont="1" applyFill="1" applyAlignment="1">
      <alignment horizontal="centerContinuous"/>
    </xf>
    <xf numFmtId="0" fontId="18" fillId="4" borderId="0" xfId="0" applyFont="1" applyFill="1" applyAlignment="1">
      <alignment horizontal="center"/>
    </xf>
    <xf numFmtId="14" fontId="24" fillId="21" borderId="0" xfId="0" applyNumberFormat="1" applyFont="1" applyFill="1" applyAlignment="1">
      <alignment horizontal="right"/>
    </xf>
    <xf numFmtId="5" fontId="39" fillId="0" borderId="0" xfId="0" applyNumberFormat="1" applyFont="1" applyAlignment="1">
      <alignment horizontal="right"/>
    </xf>
    <xf numFmtId="5" fontId="19" fillId="0" borderId="0" xfId="0" applyNumberFormat="1" applyFont="1" applyAlignment="1">
      <alignment horizontal="right"/>
    </xf>
    <xf numFmtId="7" fontId="19" fillId="21" borderId="0" xfId="0" applyNumberFormat="1" applyFont="1" applyFill="1" applyAlignment="1">
      <alignment horizontal="right"/>
    </xf>
    <xf numFmtId="177" fontId="24" fillId="21" borderId="0" xfId="0" applyNumberFormat="1" applyFont="1" applyFill="1" applyAlignment="1">
      <alignment horizontal="right"/>
    </xf>
    <xf numFmtId="7" fontId="39" fillId="0" borderId="0" xfId="0" applyNumberFormat="1" applyFont="1" applyAlignment="1">
      <alignment horizontal="right"/>
    </xf>
    <xf numFmtId="174" fontId="39" fillId="21" borderId="0" xfId="0" applyNumberFormat="1" applyFont="1" applyFill="1" applyAlignment="1">
      <alignment horizontal="right"/>
    </xf>
    <xf numFmtId="7" fontId="23" fillId="0" borderId="0" xfId="0" applyNumberFormat="1" applyFont="1"/>
    <xf numFmtId="174" fontId="0" fillId="0" borderId="0" xfId="0" applyNumberFormat="1" applyAlignment="1">
      <alignment horizontal="right"/>
    </xf>
    <xf numFmtId="177" fontId="0" fillId="21" borderId="0" xfId="0" applyNumberFormat="1" applyFill="1" applyAlignment="1">
      <alignment horizontal="right"/>
    </xf>
    <xf numFmtId="178" fontId="19" fillId="0" borderId="0" xfId="0" applyNumberFormat="1" applyFont="1"/>
    <xf numFmtId="179" fontId="22" fillId="0" borderId="0" xfId="0" applyNumberFormat="1" applyFont="1" applyAlignment="1">
      <alignment horizontal="right"/>
    </xf>
    <xf numFmtId="179" fontId="21" fillId="0" borderId="0" xfId="0" applyNumberFormat="1" applyFont="1" applyAlignment="1">
      <alignment horizontal="right"/>
    </xf>
    <xf numFmtId="7" fontId="22" fillId="0" borderId="0" xfId="0" applyNumberFormat="1" applyFont="1"/>
    <xf numFmtId="180" fontId="39" fillId="0" borderId="0" xfId="0" applyNumberFormat="1" applyFont="1" applyAlignment="1">
      <alignment horizontal="right"/>
    </xf>
    <xf numFmtId="7" fontId="21" fillId="0" borderId="0" xfId="0" applyNumberFormat="1" applyFont="1" applyAlignment="1">
      <alignment horizontal="center"/>
    </xf>
    <xf numFmtId="0" fontId="21" fillId="0" borderId="0" xfId="0" applyFont="1"/>
    <xf numFmtId="0" fontId="2" fillId="0" borderId="14" xfId="0" applyFont="1" applyBorder="1"/>
    <xf numFmtId="44" fontId="24" fillId="21" borderId="15" xfId="0" applyNumberFormat="1" applyFont="1" applyFill="1" applyBorder="1" applyAlignment="1">
      <alignment horizontal="right"/>
    </xf>
    <xf numFmtId="0" fontId="45" fillId="0" borderId="0" xfId="0" applyFont="1"/>
    <xf numFmtId="0" fontId="18" fillId="0" borderId="0" xfId="0" applyFont="1" applyAlignment="1">
      <alignment horizontal="centerContinuous"/>
    </xf>
    <xf numFmtId="0" fontId="0" fillId="0" borderId="14" xfId="0" applyBorder="1"/>
    <xf numFmtId="37" fontId="46" fillId="0" borderId="15" xfId="0" applyNumberFormat="1" applyFont="1" applyBorder="1" applyAlignment="1">
      <alignment horizontal="right"/>
    </xf>
    <xf numFmtId="5" fontId="2" fillId="0" borderId="15" xfId="0" applyNumberFormat="1" applyFont="1" applyBorder="1" applyAlignment="1">
      <alignment horizontal="right"/>
    </xf>
    <xf numFmtId="44" fontId="49" fillId="8" borderId="16" xfId="10" applyFont="1" applyFill="1" applyBorder="1"/>
    <xf numFmtId="5" fontId="46" fillId="0" borderId="15" xfId="0" applyNumberFormat="1" applyFont="1" applyBorder="1" applyAlignment="1">
      <alignment horizontal="right"/>
    </xf>
    <xf numFmtId="0" fontId="2" fillId="21" borderId="1" xfId="0" applyFont="1" applyFill="1" applyBorder="1"/>
    <xf numFmtId="7" fontId="39" fillId="21" borderId="2" xfId="0" applyNumberFormat="1" applyFont="1" applyFill="1" applyBorder="1" applyAlignment="1">
      <alignment horizontal="right"/>
    </xf>
    <xf numFmtId="7" fontId="19" fillId="21" borderId="2" xfId="0" applyNumberFormat="1" applyFont="1" applyFill="1" applyBorder="1" applyAlignment="1">
      <alignment horizontal="right"/>
    </xf>
    <xf numFmtId="7" fontId="19" fillId="21" borderId="3" xfId="0" applyNumberFormat="1" applyFont="1" applyFill="1" applyBorder="1" applyAlignment="1">
      <alignment horizontal="right"/>
    </xf>
    <xf numFmtId="7" fontId="19" fillId="0" borderId="0" xfId="0" applyNumberFormat="1" applyFont="1" applyAlignment="1">
      <alignment horizontal="right"/>
    </xf>
    <xf numFmtId="44" fontId="50" fillId="8" borderId="17" xfId="10" applyFont="1" applyFill="1" applyBorder="1"/>
    <xf numFmtId="0" fontId="0" fillId="21" borderId="6" xfId="0" applyFill="1" applyBorder="1" applyAlignment="1">
      <alignment horizontal="left" indent="1"/>
    </xf>
    <xf numFmtId="179" fontId="22" fillId="21" borderId="7" xfId="0" applyNumberFormat="1" applyFont="1" applyFill="1" applyBorder="1" applyAlignment="1">
      <alignment horizontal="right"/>
    </xf>
    <xf numFmtId="179" fontId="21" fillId="21" borderId="7" xfId="0" applyNumberFormat="1" applyFont="1" applyFill="1" applyBorder="1" applyAlignment="1">
      <alignment horizontal="right"/>
    </xf>
    <xf numFmtId="179" fontId="21" fillId="21" borderId="8" xfId="0" applyNumberFormat="1" applyFont="1" applyFill="1" applyBorder="1" applyAlignment="1">
      <alignment horizontal="right"/>
    </xf>
    <xf numFmtId="166" fontId="48" fillId="8" borderId="21" xfId="11" applyNumberFormat="1" applyFont="1" applyFill="1" applyBorder="1"/>
    <xf numFmtId="4" fontId="2" fillId="0" borderId="0" xfId="0" applyNumberFormat="1" applyFont="1"/>
    <xf numFmtId="0" fontId="2" fillId="0" borderId="18" xfId="0" applyFont="1" applyBorder="1"/>
    <xf numFmtId="5" fontId="2" fillId="0" borderId="22" xfId="0" applyNumberFormat="1" applyFont="1" applyBorder="1" applyAlignment="1">
      <alignment horizontal="right"/>
    </xf>
    <xf numFmtId="0" fontId="2" fillId="21" borderId="10" xfId="0" applyFont="1" applyFill="1" applyBorder="1"/>
    <xf numFmtId="0" fontId="2" fillId="21" borderId="11" xfId="0" applyFont="1" applyFill="1" applyBorder="1"/>
    <xf numFmtId="174" fontId="2" fillId="21" borderId="11" xfId="0" applyNumberFormat="1" applyFont="1" applyFill="1" applyBorder="1"/>
    <xf numFmtId="174" fontId="2" fillId="21" borderId="11" xfId="0" applyNumberFormat="1" applyFont="1" applyFill="1" applyBorder="1" applyAlignment="1">
      <alignment horizontal="right"/>
    </xf>
    <xf numFmtId="174" fontId="2" fillId="21" borderId="13" xfId="0" applyNumberFormat="1" applyFont="1" applyFill="1" applyBorder="1" applyAlignment="1">
      <alignment horizontal="right"/>
    </xf>
    <xf numFmtId="174" fontId="2" fillId="0" borderId="0" xfId="0" applyNumberFormat="1" applyFont="1" applyAlignment="1">
      <alignment horizontal="right"/>
    </xf>
    <xf numFmtId="181" fontId="0" fillId="0" borderId="0" xfId="0" applyNumberFormat="1"/>
    <xf numFmtId="182" fontId="2" fillId="0" borderId="0" xfId="0" applyNumberFormat="1" applyFont="1" applyAlignment="1">
      <alignment horizontal="right"/>
    </xf>
    <xf numFmtId="175" fontId="2" fillId="4" borderId="0" xfId="0" applyNumberFormat="1" applyFont="1" applyFill="1" applyAlignment="1">
      <alignment horizontal="center"/>
    </xf>
    <xf numFmtId="175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/>
    </xf>
    <xf numFmtId="177" fontId="39" fillId="0" borderId="2" xfId="0" applyNumberFormat="1" applyFont="1" applyBorder="1"/>
    <xf numFmtId="177" fontId="39" fillId="21" borderId="2" xfId="0" applyNumberFormat="1" applyFont="1" applyFill="1" applyBorder="1"/>
    <xf numFmtId="177" fontId="39" fillId="21" borderId="3" xfId="0" applyNumberFormat="1" applyFont="1" applyFill="1" applyBorder="1"/>
    <xf numFmtId="177" fontId="39" fillId="0" borderId="0" xfId="0" applyNumberFormat="1" applyFont="1"/>
    <xf numFmtId="0" fontId="23" fillId="0" borderId="0" xfId="0" applyFont="1"/>
    <xf numFmtId="0" fontId="2" fillId="0" borderId="4" xfId="0" applyFont="1" applyBorder="1" applyAlignment="1">
      <alignment horizontal="left"/>
    </xf>
    <xf numFmtId="177" fontId="39" fillId="21" borderId="0" xfId="0" applyNumberFormat="1" applyFont="1" applyFill="1"/>
    <xf numFmtId="177" fontId="39" fillId="21" borderId="5" xfId="0" applyNumberFormat="1" applyFont="1" applyFill="1" applyBorder="1"/>
    <xf numFmtId="177" fontId="46" fillId="0" borderId="0" xfId="0" applyNumberFormat="1" applyFont="1"/>
    <xf numFmtId="0" fontId="17" fillId="0" borderId="0" xfId="0" applyFont="1" applyAlignment="1">
      <alignment horizontal="center"/>
    </xf>
    <xf numFmtId="7" fontId="22" fillId="0" borderId="25" xfId="0" applyNumberFormat="1" applyFont="1" applyBorder="1"/>
    <xf numFmtId="174" fontId="0" fillId="0" borderId="26" xfId="0" applyNumberFormat="1" applyBorder="1" applyAlignment="1">
      <alignment horizontal="right"/>
    </xf>
    <xf numFmtId="177" fontId="0" fillId="21" borderId="26" xfId="0" applyNumberFormat="1" applyFill="1" applyBorder="1" applyAlignment="1">
      <alignment horizontal="right"/>
    </xf>
    <xf numFmtId="174" fontId="0" fillId="0" borderId="27" xfId="0" applyNumberFormat="1" applyBorder="1"/>
    <xf numFmtId="5" fontId="24" fillId="0" borderId="0" xfId="0" applyNumberFormat="1" applyFont="1"/>
    <xf numFmtId="7" fontId="22" fillId="0" borderId="14" xfId="0" applyNumberFormat="1" applyFont="1" applyBorder="1"/>
    <xf numFmtId="174" fontId="0" fillId="0" borderId="15" xfId="0" applyNumberFormat="1" applyBorder="1"/>
    <xf numFmtId="7" fontId="0" fillId="0" borderId="0" xfId="0" applyNumberFormat="1"/>
    <xf numFmtId="0" fontId="2" fillId="0" borderId="6" xfId="0" applyFont="1" applyBorder="1" applyAlignment="1">
      <alignment horizontal="left"/>
    </xf>
    <xf numFmtId="177" fontId="39" fillId="0" borderId="7" xfId="0" applyNumberFormat="1" applyFont="1" applyBorder="1"/>
    <xf numFmtId="177" fontId="39" fillId="21" borderId="7" xfId="0" applyNumberFormat="1" applyFont="1" applyFill="1" applyBorder="1"/>
    <xf numFmtId="177" fontId="39" fillId="21" borderId="8" xfId="0" applyNumberFormat="1" applyFont="1" applyFill="1" applyBorder="1"/>
    <xf numFmtId="7" fontId="22" fillId="0" borderId="18" xfId="0" applyNumberFormat="1" applyFont="1" applyBorder="1"/>
    <xf numFmtId="174" fontId="0" fillId="0" borderId="19" xfId="0" applyNumberFormat="1" applyBorder="1" applyAlignment="1">
      <alignment horizontal="right"/>
    </xf>
    <xf numFmtId="177" fontId="0" fillId="21" borderId="19" xfId="0" applyNumberFormat="1" applyFill="1" applyBorder="1" applyAlignment="1">
      <alignment horizontal="right"/>
    </xf>
    <xf numFmtId="174" fontId="0" fillId="0" borderId="22" xfId="0" applyNumberFormat="1" applyBorder="1"/>
    <xf numFmtId="174" fontId="2" fillId="21" borderId="13" xfId="0" applyNumberFormat="1" applyFont="1" applyFill="1" applyBorder="1"/>
    <xf numFmtId="0" fontId="16" fillId="20" borderId="0" xfId="0" applyFont="1" applyFill="1" applyAlignment="1">
      <alignment horizontal="center"/>
    </xf>
    <xf numFmtId="7" fontId="46" fillId="0" borderId="0" xfId="0" applyNumberFormat="1" applyFont="1"/>
    <xf numFmtId="177" fontId="24" fillId="21" borderId="0" xfId="0" applyNumberFormat="1" applyFont="1" applyFill="1"/>
    <xf numFmtId="177" fontId="22" fillId="21" borderId="0" xfId="0" applyNumberFormat="1" applyFont="1" applyFill="1" applyAlignment="1">
      <alignment horizontal="right"/>
    </xf>
    <xf numFmtId="7" fontId="2" fillId="0" borderId="0" xfId="0" applyNumberFormat="1" applyFont="1"/>
    <xf numFmtId="0" fontId="2" fillId="21" borderId="1" xfId="0" applyFont="1" applyFill="1" applyBorder="1" applyAlignment="1">
      <alignment horizontal="left" indent="1"/>
    </xf>
    <xf numFmtId="174" fontId="2" fillId="21" borderId="3" xfId="0" applyNumberFormat="1" applyFont="1" applyFill="1" applyBorder="1"/>
    <xf numFmtId="0" fontId="2" fillId="21" borderId="4" xfId="0" applyFont="1" applyFill="1" applyBorder="1" applyAlignment="1">
      <alignment horizontal="left" indent="1"/>
    </xf>
    <xf numFmtId="177" fontId="2" fillId="21" borderId="5" xfId="0" applyNumberFormat="1" applyFont="1" applyFill="1" applyBorder="1"/>
    <xf numFmtId="0" fontId="2" fillId="21" borderId="6" xfId="0" applyFont="1" applyFill="1" applyBorder="1" applyAlignment="1">
      <alignment horizontal="left" indent="1"/>
    </xf>
    <xf numFmtId="174" fontId="2" fillId="21" borderId="8" xfId="0" applyNumberFormat="1" applyFont="1" applyFill="1" applyBorder="1"/>
    <xf numFmtId="174" fontId="22" fillId="0" borderId="19" xfId="0" applyNumberFormat="1" applyFont="1" applyBorder="1" applyAlignment="1">
      <alignment horizontal="right"/>
    </xf>
    <xf numFmtId="174" fontId="22" fillId="0" borderId="0" xfId="0" applyNumberFormat="1" applyFont="1" applyAlignment="1">
      <alignment horizontal="right"/>
    </xf>
    <xf numFmtId="177" fontId="19" fillId="21" borderId="0" xfId="0" applyNumberFormat="1" applyFont="1" applyFill="1" applyAlignment="1">
      <alignment horizontal="right"/>
    </xf>
    <xf numFmtId="7" fontId="2" fillId="21" borderId="3" xfId="0" applyNumberFormat="1" applyFont="1" applyFill="1" applyBorder="1"/>
    <xf numFmtId="174" fontId="22" fillId="0" borderId="26" xfId="0" applyNumberFormat="1" applyFont="1" applyBorder="1" applyAlignment="1">
      <alignment horizontal="right"/>
    </xf>
    <xf numFmtId="177" fontId="19" fillId="21" borderId="26" xfId="0" applyNumberFormat="1" applyFont="1" applyFill="1" applyBorder="1" applyAlignment="1">
      <alignment horizontal="right"/>
    </xf>
    <xf numFmtId="173" fontId="2" fillId="4" borderId="0" xfId="0" applyNumberFormat="1" applyFont="1" applyFill="1" applyAlignment="1">
      <alignment horizontal="center"/>
    </xf>
    <xf numFmtId="173" fontId="0" fillId="4" borderId="0" xfId="0" applyNumberFormat="1" applyFill="1" applyAlignment="1">
      <alignment horizontal="center"/>
    </xf>
    <xf numFmtId="0" fontId="0" fillId="0" borderId="0" xfId="0" applyAlignment="1">
      <alignment vertical="center" wrapText="1"/>
    </xf>
    <xf numFmtId="0" fontId="2" fillId="21" borderId="10" xfId="0" applyFont="1" applyFill="1" applyBorder="1" applyAlignment="1">
      <alignment horizontal="left" indent="1"/>
    </xf>
    <xf numFmtId="10" fontId="2" fillId="21" borderId="24" xfId="0" applyNumberFormat="1" applyFont="1" applyFill="1" applyBorder="1" applyAlignment="1">
      <alignment horizontal="left" indent="1"/>
    </xf>
    <xf numFmtId="10" fontId="2" fillId="21" borderId="23" xfId="0" applyNumberFormat="1" applyFont="1" applyFill="1" applyBorder="1" applyAlignment="1">
      <alignment horizontal="left" indent="1"/>
    </xf>
    <xf numFmtId="0" fontId="0" fillId="0" borderId="0" xfId="0" applyAlignment="1">
      <alignment wrapText="1"/>
    </xf>
    <xf numFmtId="173" fontId="0" fillId="14" borderId="0" xfId="0" applyNumberFormat="1" applyFill="1" applyAlignment="1">
      <alignment horizontal="center"/>
    </xf>
    <xf numFmtId="173" fontId="21" fillId="0" borderId="0" xfId="0" applyNumberFormat="1" applyFont="1" applyAlignment="1">
      <alignment horizontal="center"/>
    </xf>
    <xf numFmtId="173" fontId="2" fillId="14" borderId="0" xfId="0" applyNumberFormat="1" applyFont="1" applyFill="1" applyAlignment="1">
      <alignment horizontal="center"/>
    </xf>
    <xf numFmtId="173" fontId="0" fillId="11" borderId="0" xfId="0" applyNumberFormat="1" applyFill="1" applyAlignment="1">
      <alignment horizontal="center"/>
    </xf>
    <xf numFmtId="173" fontId="3" fillId="11" borderId="0" xfId="0" applyNumberFormat="1" applyFont="1" applyFill="1" applyAlignment="1">
      <alignment horizontal="center"/>
    </xf>
    <xf numFmtId="173" fontId="21" fillId="14" borderId="0" xfId="0" applyNumberFormat="1" applyFont="1" applyFill="1" applyAlignment="1">
      <alignment horizontal="center"/>
    </xf>
    <xf numFmtId="173" fontId="23" fillId="14" borderId="0" xfId="0" applyNumberFormat="1" applyFont="1" applyFill="1" applyAlignment="1">
      <alignment horizontal="center"/>
    </xf>
    <xf numFmtId="173" fontId="23" fillId="0" borderId="0" xfId="0" applyNumberFormat="1" applyFont="1" applyAlignment="1">
      <alignment horizontal="center"/>
    </xf>
    <xf numFmtId="173" fontId="0" fillId="16" borderId="0" xfId="0" applyNumberFormat="1" applyFill="1"/>
    <xf numFmtId="173" fontId="22" fillId="16" borderId="0" xfId="0" applyNumberFormat="1" applyFont="1" applyFill="1"/>
    <xf numFmtId="0" fontId="22" fillId="0" borderId="0" xfId="0" applyFont="1" applyAlignment="1">
      <alignment horizontal="left" indent="1"/>
    </xf>
    <xf numFmtId="173" fontId="22" fillId="14" borderId="0" xfId="0" applyNumberFormat="1" applyFont="1" applyFill="1" applyAlignment="1">
      <alignment horizontal="center"/>
    </xf>
    <xf numFmtId="37" fontId="0" fillId="16" borderId="0" xfId="0" applyNumberFormat="1" applyFill="1" applyAlignment="1">
      <alignment horizontal="center"/>
    </xf>
    <xf numFmtId="37" fontId="23" fillId="16" borderId="0" xfId="0" applyNumberFormat="1" applyFont="1" applyFill="1" applyAlignment="1">
      <alignment horizontal="center"/>
    </xf>
    <xf numFmtId="0" fontId="2" fillId="0" borderId="10" xfId="0" applyFont="1" applyBorder="1" applyAlignment="1">
      <alignment horizontal="center"/>
    </xf>
    <xf numFmtId="37" fontId="23" fillId="0" borderId="0" xfId="0" applyNumberFormat="1" applyFont="1" applyAlignment="1">
      <alignment horizontal="center"/>
    </xf>
    <xf numFmtId="37" fontId="24" fillId="0" borderId="0" xfId="0" applyNumberFormat="1" applyFont="1" applyAlignment="1">
      <alignment horizontal="center"/>
    </xf>
    <xf numFmtId="173" fontId="18" fillId="0" borderId="0" xfId="0" applyNumberFormat="1" applyFont="1" applyAlignment="1">
      <alignment horizontal="center"/>
    </xf>
    <xf numFmtId="173" fontId="0" fillId="0" borderId="0" xfId="0" applyNumberFormat="1"/>
    <xf numFmtId="39" fontId="0" fillId="14" borderId="0" xfId="0" applyNumberFormat="1" applyFill="1" applyAlignment="1">
      <alignment horizontal="center"/>
    </xf>
    <xf numFmtId="39" fontId="21" fillId="0" borderId="0" xfId="0" applyNumberFormat="1" applyFont="1" applyAlignment="1">
      <alignment horizontal="center"/>
    </xf>
    <xf numFmtId="39" fontId="23" fillId="0" borderId="0" xfId="0" applyNumberFormat="1" applyFont="1" applyAlignment="1">
      <alignment horizontal="center"/>
    </xf>
    <xf numFmtId="39" fontId="23" fillId="14" borderId="0" xfId="0" applyNumberFormat="1" applyFont="1" applyFill="1" applyAlignment="1">
      <alignment horizontal="center"/>
    </xf>
    <xf numFmtId="39" fontId="2" fillId="14" borderId="0" xfId="0" applyNumberFormat="1" applyFont="1" applyFill="1" applyAlignment="1">
      <alignment horizontal="center"/>
    </xf>
    <xf numFmtId="39" fontId="18" fillId="0" borderId="0" xfId="0" applyNumberFormat="1" applyFont="1" applyAlignment="1">
      <alignment horizontal="center"/>
    </xf>
    <xf numFmtId="39" fontId="24" fillId="0" borderId="0" xfId="0" applyNumberFormat="1" applyFont="1" applyAlignment="1">
      <alignment horizontal="center"/>
    </xf>
    <xf numFmtId="39" fontId="24" fillId="14" borderId="0" xfId="0" applyNumberFormat="1" applyFont="1" applyFill="1" applyAlignment="1">
      <alignment horizontal="center"/>
    </xf>
    <xf numFmtId="173" fontId="21" fillId="8" borderId="0" xfId="0" applyNumberFormat="1" applyFont="1" applyFill="1" applyAlignment="1">
      <alignment horizontal="center"/>
    </xf>
    <xf numFmtId="173" fontId="17" fillId="0" borderId="0" xfId="0" applyNumberFormat="1" applyFont="1" applyAlignment="1">
      <alignment horizontal="center"/>
    </xf>
    <xf numFmtId="10" fontId="27" fillId="17" borderId="0" xfId="1" quotePrefix="1" applyNumberFormat="1" applyFont="1" applyFill="1" applyAlignment="1">
      <alignment horizontal="center"/>
    </xf>
    <xf numFmtId="0" fontId="53" fillId="0" borderId="0" xfId="0" applyFont="1" applyAlignment="1">
      <alignment horizontal="left" indent="1"/>
    </xf>
    <xf numFmtId="0" fontId="53" fillId="0" borderId="0" xfId="0" applyFont="1"/>
    <xf numFmtId="37" fontId="53" fillId="0" borderId="0" xfId="0" applyNumberFormat="1" applyFont="1" applyAlignment="1">
      <alignment horizontal="center"/>
    </xf>
    <xf numFmtId="10" fontId="27" fillId="17" borderId="0" xfId="1" applyNumberFormat="1" applyFont="1" applyFill="1" applyAlignment="1">
      <alignment horizontal="center"/>
    </xf>
    <xf numFmtId="10" fontId="53" fillId="17" borderId="0" xfId="1" applyNumberFormat="1" applyFont="1" applyFill="1" applyAlignment="1">
      <alignment horizontal="center"/>
    </xf>
    <xf numFmtId="0" fontId="2" fillId="17" borderId="0" xfId="0" applyFont="1" applyFill="1"/>
    <xf numFmtId="0" fontId="2" fillId="22" borderId="0" xfId="0" applyFont="1" applyFill="1" applyAlignment="1">
      <alignment horizontal="left" indent="1"/>
    </xf>
    <xf numFmtId="0" fontId="2" fillId="22" borderId="0" xfId="0" applyFont="1" applyFill="1"/>
    <xf numFmtId="37" fontId="2" fillId="22" borderId="0" xfId="0" applyNumberFormat="1" applyFont="1" applyFill="1" applyAlignment="1">
      <alignment horizontal="center"/>
    </xf>
    <xf numFmtId="39" fontId="2" fillId="22" borderId="0" xfId="0" applyNumberFormat="1" applyFont="1" applyFill="1" applyAlignment="1">
      <alignment horizontal="center"/>
    </xf>
    <xf numFmtId="37" fontId="53" fillId="17" borderId="0" xfId="0" applyNumberFormat="1" applyFont="1" applyFill="1" applyAlignment="1">
      <alignment horizontal="center"/>
    </xf>
    <xf numFmtId="0" fontId="0" fillId="8" borderId="0" xfId="0" applyFill="1"/>
    <xf numFmtId="39" fontId="0" fillId="17" borderId="0" xfId="0" applyNumberFormat="1" applyFill="1"/>
    <xf numFmtId="37" fontId="0" fillId="17" borderId="0" xfId="0" applyNumberFormat="1" applyFill="1"/>
    <xf numFmtId="166" fontId="0" fillId="17" borderId="0" xfId="1" applyNumberFormat="1" applyFont="1" applyFill="1"/>
    <xf numFmtId="166" fontId="0" fillId="17" borderId="0" xfId="1" applyNumberFormat="1" applyFont="1" applyFill="1" applyAlignment="1">
      <alignment horizontal="center"/>
    </xf>
    <xf numFmtId="10" fontId="26" fillId="17" borderId="0" xfId="1" applyNumberFormat="1" applyFont="1" applyFill="1" applyBorder="1" applyAlignment="1">
      <alignment horizontal="center"/>
    </xf>
    <xf numFmtId="1" fontId="22" fillId="17" borderId="0" xfId="1" applyNumberFormat="1" applyFont="1" applyFill="1" applyAlignment="1">
      <alignment horizontal="center"/>
    </xf>
    <xf numFmtId="10" fontId="54" fillId="17" borderId="0" xfId="1" quotePrefix="1" applyNumberFormat="1" applyFont="1" applyFill="1" applyAlignment="1">
      <alignment horizontal="center"/>
    </xf>
    <xf numFmtId="37" fontId="55" fillId="17" borderId="11" xfId="0" applyNumberFormat="1" applyFont="1" applyFill="1" applyBorder="1" applyAlignment="1">
      <alignment horizontal="center"/>
    </xf>
    <xf numFmtId="39" fontId="24" fillId="22" borderId="0" xfId="0" applyNumberFormat="1" applyFont="1" applyFill="1" applyAlignment="1">
      <alignment horizontal="center"/>
    </xf>
    <xf numFmtId="183" fontId="21" fillId="21" borderId="7" xfId="0" applyNumberFormat="1" applyFont="1" applyFill="1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37" fontId="24" fillId="17" borderId="0" xfId="0" applyNumberFormat="1" applyFont="1" applyFill="1" applyBorder="1" applyAlignment="1">
      <alignment horizontal="center"/>
    </xf>
    <xf numFmtId="37" fontId="23" fillId="17" borderId="0" xfId="0" applyNumberFormat="1" applyFont="1" applyFill="1" applyBorder="1" applyAlignment="1">
      <alignment horizontal="center"/>
    </xf>
    <xf numFmtId="37" fontId="0" fillId="0" borderId="0" xfId="0" applyNumberFormat="1" applyBorder="1"/>
    <xf numFmtId="184" fontId="0" fillId="0" borderId="0" xfId="0" applyNumberFormat="1" applyBorder="1"/>
    <xf numFmtId="39" fontId="56" fillId="17" borderId="0" xfId="0" applyNumberFormat="1" applyFont="1" applyFill="1" applyAlignment="1">
      <alignment horizontal="center"/>
    </xf>
    <xf numFmtId="10" fontId="29" fillId="17" borderId="0" xfId="1" applyNumberFormat="1" applyFont="1" applyFill="1" applyBorder="1" applyAlignment="1">
      <alignment horizontal="center"/>
    </xf>
    <xf numFmtId="0" fontId="35" fillId="16" borderId="0" xfId="6" applyFont="1" applyFill="1" applyAlignment="1">
      <alignment horizontal="center" vertical="center" textRotation="90"/>
    </xf>
    <xf numFmtId="0" fontId="35" fillId="16" borderId="0" xfId="0" applyFont="1" applyFill="1" applyAlignment="1">
      <alignment horizontal="center"/>
    </xf>
    <xf numFmtId="0" fontId="16" fillId="20" borderId="0" xfId="0" applyFont="1" applyFill="1" applyAlignment="1">
      <alignment horizontal="center"/>
    </xf>
    <xf numFmtId="0" fontId="48" fillId="0" borderId="14" xfId="9" applyFont="1" applyBorder="1" applyAlignment="1">
      <alignment horizontal="center"/>
    </xf>
    <xf numFmtId="0" fontId="48" fillId="0" borderId="0" xfId="9" applyFont="1" applyAlignment="1">
      <alignment horizontal="center"/>
    </xf>
    <xf numFmtId="0" fontId="48" fillId="0" borderId="5" xfId="9" applyFont="1" applyBorder="1" applyAlignment="1">
      <alignment horizontal="center"/>
    </xf>
    <xf numFmtId="0" fontId="48" fillId="0" borderId="18" xfId="9" applyFont="1" applyBorder="1" applyAlignment="1">
      <alignment horizontal="center"/>
    </xf>
    <xf numFmtId="0" fontId="48" fillId="0" borderId="19" xfId="9" applyFont="1" applyBorder="1" applyAlignment="1">
      <alignment horizontal="center"/>
    </xf>
    <xf numFmtId="0" fontId="48" fillId="0" borderId="20" xfId="9" applyFont="1" applyBorder="1" applyAlignment="1">
      <alignment horizontal="center"/>
    </xf>
  </cellXfs>
  <cellStyles count="12">
    <cellStyle name="Bad" xfId="6" builtinId="27"/>
    <cellStyle name="Calculation" xfId="7" builtinId="22"/>
    <cellStyle name="Currency 2" xfId="10" xr:uid="{BCEFECF1-850D-47A1-AF1C-973EA979CEB7}"/>
    <cellStyle name="Normal" xfId="0" builtinId="0"/>
    <cellStyle name="Normal 2 2" xfId="9" xr:uid="{F490F50B-F831-475B-B53F-BF46716CD124}"/>
    <cellStyle name="Normal 3" xfId="2" xr:uid="{41FE513B-2181-4715-919D-1E0CCA73628C}"/>
    <cellStyle name="Normal 3 2" xfId="8" xr:uid="{D7C433A5-4F21-4170-B715-0556367CC168}"/>
    <cellStyle name="Normal 4" xfId="4" xr:uid="{96A18E37-2CE0-453D-B491-ABB7934673F1}"/>
    <cellStyle name="Percent" xfId="1" builtinId="5"/>
    <cellStyle name="Percent 2" xfId="5" xr:uid="{FDE56DB0-4B22-4885-817A-FF696E823F03}"/>
    <cellStyle name="Percent 2 2" xfId="11" xr:uid="{02D78A53-BEA0-4094-92F5-123E9863B1A5}"/>
    <cellStyle name="Percent 3" xfId="3" xr:uid="{6E0F6892-4329-4343-A390-87FC7C3E3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MOD!$B$14</c:f>
              <c:strCache>
                <c:ptCount val="1"/>
                <c:pt idx="0">
                  <c:v>Total 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(MOD!$J$2:$M$2,MOD!$O$2:$R$2,MOD!$T$2:$W$2,MOD!$Y$2:$AB$2,MOD!$AD$2)</c:f>
            </c:strRef>
          </c:cat>
          <c:val>
            <c:numRef>
              <c:f>(MOD!$J$14:$M$14,MOD!$O$14:$R$14,MOD!$T$14:$W$14,MOD!$Y$14:$AB$14,MOD!$AD$14)</c:f>
            </c:numRef>
          </c:val>
          <c:extLst>
            <c:ext xmlns:c16="http://schemas.microsoft.com/office/drawing/2014/chart" uri="{C3380CC4-5D6E-409C-BE32-E72D297353CC}">
              <c16:uniqueId val="{00000000-533A-4D02-92E7-0D625CE13EAC}"/>
            </c:ext>
          </c:extLst>
        </c:ser>
        <c:ser>
          <c:idx val="1"/>
          <c:order val="1"/>
          <c:tx>
            <c:strRef>
              <c:f>MOD!$B$23</c:f>
              <c:strCache>
                <c:ptCount val="1"/>
                <c:pt idx="0">
                  <c:v>Gross profit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(MOD!$J$23:$M$23,MOD!$O$23:$R$23,MOD!$T$23:$W$23,MOD!$Y$23:$AB$23,MOD!$AD$23)</c:f>
            </c:numRef>
          </c:val>
          <c:extLst>
            <c:ext xmlns:c16="http://schemas.microsoft.com/office/drawing/2014/chart" uri="{C3380CC4-5D6E-409C-BE32-E72D297353CC}">
              <c16:uniqueId val="{00000000-392A-4504-81A5-86CB50AACD92}"/>
            </c:ext>
          </c:extLst>
        </c:ser>
        <c:ser>
          <c:idx val="2"/>
          <c:order val="2"/>
          <c:tx>
            <c:strRef>
              <c:f>MOD!$B$46</c:f>
              <c:strCache>
                <c:ptCount val="1"/>
                <c:pt idx="0">
                  <c:v>Income from operations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(MOD!$J$46:$M$46,MOD!$O$46:$R$46,MOD!$T$46:$W$46,MOD!$Y$46:$AB$46,MOD!$AD$46)</c:f>
            </c:numRef>
          </c:val>
          <c:extLst>
            <c:ext xmlns:c16="http://schemas.microsoft.com/office/drawing/2014/chart" uri="{C3380CC4-5D6E-409C-BE32-E72D297353CC}">
              <c16:uniqueId val="{00000001-392A-4504-81A5-86CB50AAC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1587984"/>
        <c:axId val="543556296"/>
      </c:barChart>
      <c:catAx>
        <c:axId val="591587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56296"/>
        <c:crosses val="autoZero"/>
        <c:auto val="1"/>
        <c:lblAlgn val="ctr"/>
        <c:lblOffset val="100"/>
        <c:noMultiLvlLbl val="0"/>
      </c:catAx>
      <c:valAx>
        <c:axId val="54355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8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MOD!$B$46</c:f>
              <c:strCache>
                <c:ptCount val="1"/>
                <c:pt idx="0">
                  <c:v>Income from operations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(MOD!$J$2:$M$2,MOD!$O$2:$R$2,MOD!$T$2:$W$2,MOD!$Y$2:$AB$2,MOD!$AD$2)</c:f>
            </c:strRef>
          </c:cat>
          <c:val>
            <c:numRef>
              <c:f>(MOD!$J$46:$M$46,MOD!$O$46:$R$46,MOD!$T$46:$W$46,MOD!$Y$46:$AB$46,MOD!$AD$46)</c:f>
            </c:numRef>
          </c:val>
          <c:smooth val="0"/>
          <c:extLst>
            <c:ext xmlns:c16="http://schemas.microsoft.com/office/drawing/2014/chart" uri="{C3380CC4-5D6E-409C-BE32-E72D297353CC}">
              <c16:uniqueId val="{00000000-079D-4208-988D-12199FA4146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1587984"/>
        <c:axId val="543556296"/>
      </c:lineChart>
      <c:catAx>
        <c:axId val="59158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56296"/>
        <c:crosses val="autoZero"/>
        <c:auto val="1"/>
        <c:lblAlgn val="ctr"/>
        <c:lblOffset val="100"/>
        <c:noMultiLvlLbl val="0"/>
      </c:catAx>
      <c:valAx>
        <c:axId val="54355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8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MOD!$B$67</c:f>
              <c:strCache>
                <c:ptCount val="1"/>
                <c:pt idx="0">
                  <c:v>Net income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(MOD!$J$2:$M$2,MOD!$O$2:$R$2,MOD!$T$2:$W$2,MOD!$Y$2:$AB$2,MOD!$AD$2)</c:f>
            </c:strRef>
          </c:cat>
          <c:val>
            <c:numRef>
              <c:f>(MOD!$J$67:$M$67,MOD!$O$67:$R$67,MOD!$T$67:$W$67,MOD!$Y$67:$AB$67,MOD!$AD$67)</c:f>
            </c:numRef>
          </c:val>
          <c:smooth val="0"/>
          <c:extLst>
            <c:ext xmlns:c16="http://schemas.microsoft.com/office/drawing/2014/chart" uri="{C3380CC4-5D6E-409C-BE32-E72D297353CC}">
              <c16:uniqueId val="{00000000-FC00-4124-9BB9-47F2857F290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1587984"/>
        <c:axId val="543556296"/>
      </c:lineChart>
      <c:catAx>
        <c:axId val="59158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56296"/>
        <c:crosses val="autoZero"/>
        <c:auto val="1"/>
        <c:lblAlgn val="ctr"/>
        <c:lblOffset val="100"/>
        <c:noMultiLvlLbl val="0"/>
      </c:catAx>
      <c:valAx>
        <c:axId val="54355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8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EBITDA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MOD!$B$72</c:f>
              <c:strCache>
                <c:ptCount val="1"/>
                <c:pt idx="0">
                  <c:v>EBITDA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(MOD!$J$2:$M$2,MOD!$O$2:$R$2,MOD!$T$2:$W$2,MOD!$Y$2:$AB$2,MOD!$AD$2)</c:f>
            </c:strRef>
          </c:cat>
          <c:val>
            <c:numRef>
              <c:f>(MOD!$J$72:$M$72,MOD!$O$72:$R$72,MOD!$T$72:$W$72,MOD!$Y$72:$AB$72,MOD!$AD$72)</c:f>
            </c:numRef>
          </c:val>
          <c:smooth val="0"/>
          <c:extLst>
            <c:ext xmlns:c16="http://schemas.microsoft.com/office/drawing/2014/chart" uri="{C3380CC4-5D6E-409C-BE32-E72D297353CC}">
              <c16:uniqueId val="{00000000-08F3-4242-97D6-F9F4DF57689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1587984"/>
        <c:axId val="543556296"/>
      </c:lineChart>
      <c:catAx>
        <c:axId val="59158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56296"/>
        <c:crosses val="autoZero"/>
        <c:auto val="1"/>
        <c:lblAlgn val="ctr"/>
        <c:lblOffset val="100"/>
        <c:noMultiLvlLbl val="0"/>
      </c:catAx>
      <c:valAx>
        <c:axId val="54355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8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Market Share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28F-4144-8196-20E66FE1CC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28F-4144-8196-20E66FE1CC6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28F-4144-8196-20E66FE1CC6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28F-4144-8196-20E66FE1CC6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28F-4144-8196-20E66FE1CC6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28F-4144-8196-20E66FE1CC6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28F-4144-8196-20E66FE1CC6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28F-4144-8196-20E66FE1CC6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28F-4144-8196-20E66FE1CC62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428F-4144-8196-20E66FE1CC62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28F-4144-8196-20E66FE1CC62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428F-4144-8196-20E66FE1CC6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428F-4144-8196-20E66FE1CC62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428F-4144-8196-20E66FE1CC62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428F-4144-8196-20E66FE1CC62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428F-4144-8196-20E66FE1CC62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428F-4144-8196-20E66FE1CC62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428F-4144-8196-20E66FE1CC62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'ABNB Comps &amp; market share'!$D$54:$D$62</c:f>
              <c:strCache>
                <c:ptCount val="9"/>
                <c:pt idx="0">
                  <c:v>ABNB-US</c:v>
                </c:pt>
                <c:pt idx="1">
                  <c:v>BKNG-US</c:v>
                </c:pt>
                <c:pt idx="2">
                  <c:v>EXPE-US</c:v>
                </c:pt>
                <c:pt idx="3">
                  <c:v>TCOM-US</c:v>
                </c:pt>
                <c:pt idx="4">
                  <c:v>TRIP-US</c:v>
                </c:pt>
                <c:pt idx="5">
                  <c:v>MAR-US</c:v>
                </c:pt>
                <c:pt idx="6">
                  <c:v>HLT-US</c:v>
                </c:pt>
                <c:pt idx="7">
                  <c:v>WH-US</c:v>
                </c:pt>
                <c:pt idx="8">
                  <c:v>HTHT-US</c:v>
                </c:pt>
              </c:strCache>
            </c:strRef>
          </c:cat>
          <c:val>
            <c:numRef>
              <c:f>'ABNB Comps &amp; market share'!$G$54:$G$62</c:f>
              <c:numCache>
                <c:formatCode>#,##0</c:formatCode>
                <c:ptCount val="9"/>
                <c:pt idx="0">
                  <c:v>9917</c:v>
                </c:pt>
                <c:pt idx="1">
                  <c:v>21365</c:v>
                </c:pt>
                <c:pt idx="2">
                  <c:v>12839</c:v>
                </c:pt>
                <c:pt idx="3">
                  <c:v>6282.2611619222198</c:v>
                </c:pt>
                <c:pt idx="4">
                  <c:v>1788</c:v>
                </c:pt>
                <c:pt idx="5">
                  <c:v>23713</c:v>
                </c:pt>
                <c:pt idx="6">
                  <c:v>10235</c:v>
                </c:pt>
                <c:pt idx="7">
                  <c:v>1397</c:v>
                </c:pt>
                <c:pt idx="8">
                  <c:v>3088.4843573395201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28F-4144-8196-20E66FE1CC62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'Regional breakdown'!$A$3</c:f>
              <c:strCache>
                <c:ptCount val="1"/>
                <c:pt idx="0">
                  <c:v>Nights and Experiences Booked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('Regional breakdown'!$B$2,'Regional breakdown'!$C$2,'Regional breakdown'!$E$2,'Regional breakdown'!$G$2,'Regional breakdown'!$J$2,'Regional breakdown'!$M$2,'Regional breakdown'!$P$2)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('Regional breakdown'!$B$8,'Regional breakdown'!$C$8,'Regional breakdown'!$E$8,'Regional breakdown'!$G$8,'Regional breakdown'!$J$8,'Regional breakdown'!$M$8,'Regional breakdown'!$P$8)</c:f>
              <c:numCache>
                <c:formatCode>General</c:formatCode>
                <c:ptCount val="7"/>
                <c:pt idx="0">
                  <c:v>185.8</c:v>
                </c:pt>
                <c:pt idx="1">
                  <c:v>250.3</c:v>
                </c:pt>
                <c:pt idx="2">
                  <c:v>326.89999999999998</c:v>
                </c:pt>
                <c:pt idx="3">
                  <c:v>193.2</c:v>
                </c:pt>
                <c:pt idx="4">
                  <c:v>300.60000000000002</c:v>
                </c:pt>
                <c:pt idx="5">
                  <c:v>394</c:v>
                </c:pt>
                <c:pt idx="6">
                  <c:v>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3C-4786-9220-7783548C3D3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31214320"/>
        <c:axId val="631214976"/>
      </c:lineChart>
      <c:catAx>
        <c:axId val="63121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14976"/>
        <c:crosses val="autoZero"/>
        <c:auto val="1"/>
        <c:lblAlgn val="ctr"/>
        <c:lblOffset val="100"/>
        <c:noMultiLvlLbl val="0"/>
      </c:catAx>
      <c:valAx>
        <c:axId val="6312149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3121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'Regional breakdown'!$A$10</c:f>
              <c:strCache>
                <c:ptCount val="1"/>
                <c:pt idx="0">
                  <c:v>Gross Booking Value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('Regional breakdown'!$B$2,'Regional breakdown'!$C$2,'Regional breakdown'!$E$2,'Regional breakdown'!$G$2,'Regional breakdown'!$J$2,'Regional breakdown'!$M$2,'Regional breakdown'!$P$2)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('Regional breakdown'!$B$15,'Regional breakdown'!$C$15,'Regional breakdown'!$E$15,'Regional breakdown'!$G$15,'Regional breakdown'!$J$15,'Regional breakdown'!$M$15,'Regional breakdown'!$P$15)</c:f>
              <c:numCache>
                <c:formatCode>_(\$* #,##0.0_);_(\$* \(#,##0.0\);_(\$* "-"_);_(@_)</c:formatCode>
                <c:ptCount val="7"/>
                <c:pt idx="0">
                  <c:v>20975.3</c:v>
                </c:pt>
                <c:pt idx="1">
                  <c:v>29440.7</c:v>
                </c:pt>
                <c:pt idx="2">
                  <c:v>37962.6</c:v>
                </c:pt>
                <c:pt idx="3">
                  <c:v>23896.9</c:v>
                </c:pt>
                <c:pt idx="4">
                  <c:v>46877</c:v>
                </c:pt>
                <c:pt idx="5">
                  <c:v>63212</c:v>
                </c:pt>
                <c:pt idx="6">
                  <c:v>73252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D6-4996-BCF4-A6D00C74E4D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31214320"/>
        <c:axId val="631214976"/>
      </c:lineChart>
      <c:catAx>
        <c:axId val="63121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14976"/>
        <c:crosses val="autoZero"/>
        <c:auto val="1"/>
        <c:lblAlgn val="ctr"/>
        <c:lblOffset val="100"/>
        <c:noMultiLvlLbl val="0"/>
      </c:catAx>
      <c:valAx>
        <c:axId val="631214976"/>
        <c:scaling>
          <c:orientation val="minMax"/>
        </c:scaling>
        <c:delete val="1"/>
        <c:axPos val="l"/>
        <c:numFmt formatCode="_(\$* #,##0.0_);_(\$* \(#,##0.0\);_(\$* &quot;-&quot;_);_(@_)" sourceLinked="1"/>
        <c:majorTickMark val="none"/>
        <c:minorTickMark val="none"/>
        <c:tickLblPos val="nextTo"/>
        <c:crossAx val="63121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'Regional breakdown'!$A$17</c:f>
              <c:strCache>
                <c:ptCount val="1"/>
                <c:pt idx="0">
                  <c:v>Revenue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('Regional breakdown'!$B$2,'Regional breakdown'!$C$2,'Regional breakdown'!$E$2,'Regional breakdown'!$G$2,'Regional breakdown'!$J$2,'Regional breakdown'!$M$2,'Regional breakdown'!$P$2)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('Regional breakdown'!$B$22,'Regional breakdown'!$C$22,'Regional breakdown'!$E$22,'Regional breakdown'!$G$22,'Regional breakdown'!$J$22,'Regional breakdown'!$M$22,'Regional breakdown'!$P$22)</c:f>
              <c:numCache>
                <c:formatCode>_(\$* #,##0.0_);_(\$* \(#,##0.0\);_(\$* "-"_);_(@_)</c:formatCode>
                <c:ptCount val="7"/>
                <c:pt idx="0">
                  <c:v>2561.6999999999998</c:v>
                </c:pt>
                <c:pt idx="1">
                  <c:v>3652</c:v>
                </c:pt>
                <c:pt idx="2">
                  <c:v>4805.2</c:v>
                </c:pt>
                <c:pt idx="3">
                  <c:v>3378.2</c:v>
                </c:pt>
                <c:pt idx="4">
                  <c:v>5991.8</c:v>
                </c:pt>
                <c:pt idx="5">
                  <c:v>8399</c:v>
                </c:pt>
                <c:pt idx="6">
                  <c:v>9917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C1-4515-8BB5-92F9077ED01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31214320"/>
        <c:axId val="631214976"/>
      </c:lineChart>
      <c:catAx>
        <c:axId val="63121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14976"/>
        <c:crosses val="autoZero"/>
        <c:auto val="1"/>
        <c:lblAlgn val="ctr"/>
        <c:lblOffset val="100"/>
        <c:noMultiLvlLbl val="0"/>
      </c:catAx>
      <c:valAx>
        <c:axId val="631214976"/>
        <c:scaling>
          <c:orientation val="minMax"/>
        </c:scaling>
        <c:delete val="1"/>
        <c:axPos val="l"/>
        <c:numFmt formatCode="_(\$* #,##0.0_);_(\$* \(#,##0.0\);_(\$* &quot;-&quot;_);_(@_)" sourceLinked="1"/>
        <c:majorTickMark val="none"/>
        <c:minorTickMark val="none"/>
        <c:tickLblPos val="nextTo"/>
        <c:crossAx val="63121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Nights and Experiences Booked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'Regional breakdown'!$A$4</c:f>
              <c:strCache>
                <c:ptCount val="1"/>
                <c:pt idx="0">
                  <c:v>North America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('Regional breakdown'!$G$2,'Regional breakdown'!$J$2,'Regional breakdown'!$M$2,'Regional breakdown'!$P$2)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('Regional breakdown'!$G$4,'Regional breakdown'!$J$4,'Regional breakdown'!$M$4,'Regional breakdown'!$P$4)</c:f>
              <c:numCache>
                <c:formatCode>General</c:formatCode>
                <c:ptCount val="4"/>
                <c:pt idx="0">
                  <c:v>75.5</c:v>
                </c:pt>
                <c:pt idx="1">
                  <c:v>114</c:v>
                </c:pt>
                <c:pt idx="2">
                  <c:v>133</c:v>
                </c:pt>
                <c:pt idx="3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3C-4BF3-92F5-89159EA3AC4B}"/>
            </c:ext>
          </c:extLst>
        </c:ser>
        <c:ser>
          <c:idx val="1"/>
          <c:order val="1"/>
          <c:tx>
            <c:strRef>
              <c:f>'Regional breakdown'!$A$5</c:f>
              <c:strCache>
                <c:ptCount val="1"/>
                <c:pt idx="0">
                  <c:v>EMEA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('Regional breakdown'!$G$2,'Regional breakdown'!$J$2,'Regional breakdown'!$M$2,'Regional breakdown'!$P$2)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('Regional breakdown'!$G$5,'Regional breakdown'!$J$5,'Regional breakdown'!$M$5,'Regional breakdown'!$P$5)</c:f>
              <c:numCache>
                <c:formatCode>General</c:formatCode>
                <c:ptCount val="4"/>
                <c:pt idx="0">
                  <c:v>67.7</c:v>
                </c:pt>
                <c:pt idx="1">
                  <c:v>118.1</c:v>
                </c:pt>
                <c:pt idx="2">
                  <c:v>168</c:v>
                </c:pt>
                <c:pt idx="3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3C-4BF3-92F5-89159EA3AC4B}"/>
            </c:ext>
          </c:extLst>
        </c:ser>
        <c:ser>
          <c:idx val="2"/>
          <c:order val="2"/>
          <c:tx>
            <c:strRef>
              <c:f>'Regional breakdown'!$A$6</c:f>
              <c:strCache>
                <c:ptCount val="1"/>
                <c:pt idx="0">
                  <c:v>Latin America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('Regional breakdown'!$G$2,'Regional breakdown'!$J$2,'Regional breakdown'!$M$2,'Regional breakdown'!$P$2)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('Regional breakdown'!$G$6,'Regional breakdown'!$J$6,'Regional breakdown'!$M$6,'Regional breakdown'!$P$6)</c:f>
              <c:numCache>
                <c:formatCode>General</c:formatCode>
                <c:ptCount val="4"/>
                <c:pt idx="0">
                  <c:v>22.4</c:v>
                </c:pt>
                <c:pt idx="1">
                  <c:v>38.799999999999997</c:v>
                </c:pt>
                <c:pt idx="2">
                  <c:v>53</c:v>
                </c:pt>
                <c:pt idx="3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3C-4BF3-92F5-89159EA3AC4B}"/>
            </c:ext>
          </c:extLst>
        </c:ser>
        <c:ser>
          <c:idx val="3"/>
          <c:order val="3"/>
          <c:tx>
            <c:strRef>
              <c:f>'Regional breakdown'!$A$7</c:f>
              <c:strCache>
                <c:ptCount val="1"/>
                <c:pt idx="0">
                  <c:v>Asia Pacific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('Regional breakdown'!$G$2,'Regional breakdown'!$J$2,'Regional breakdown'!$M$2,'Regional breakdown'!$P$2)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('Regional breakdown'!$G$7,'Regional breakdown'!$J$7,'Regional breakdown'!$M$7,'Regional breakdown'!$P$7)</c:f>
              <c:numCache>
                <c:formatCode>General</c:formatCode>
                <c:ptCount val="4"/>
                <c:pt idx="0">
                  <c:v>27.6</c:v>
                </c:pt>
                <c:pt idx="1">
                  <c:v>29.7</c:v>
                </c:pt>
                <c:pt idx="2">
                  <c:v>40</c:v>
                </c:pt>
                <c:pt idx="3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3C-4BF3-92F5-89159EA3AC4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3181072"/>
        <c:axId val="643179760"/>
      </c:lineChart>
      <c:catAx>
        <c:axId val="64318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760"/>
        <c:crosses val="autoZero"/>
        <c:auto val="1"/>
        <c:lblAlgn val="ctr"/>
        <c:lblOffset val="100"/>
        <c:noMultiLvlLbl val="0"/>
      </c:catAx>
      <c:valAx>
        <c:axId val="6431797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4318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gross</a:t>
            </a:r>
            <a:r>
              <a:rPr lang="en-US" baseline="0"/>
              <a:t> booking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'Regional breakdown'!$A$4</c:f>
              <c:strCache>
                <c:ptCount val="1"/>
                <c:pt idx="0">
                  <c:v>North America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('Regional breakdown'!$G$2,'Regional breakdown'!$J$2,'Regional breakdown'!$M$2,'Regional breakdown'!$P$2)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('Regional breakdown'!$G$11,'Regional breakdown'!$J$11,'Regional breakdown'!$M$11,'Regional breakdown'!$P$11)</c:f>
              <c:numCache>
                <c:formatCode>_(\$* #,##0.0_);_(\$* \(#,##0.0\);_(\$* "-"_);_(@_)</c:formatCode>
                <c:ptCount val="4"/>
                <c:pt idx="0">
                  <c:v>13169.9</c:v>
                </c:pt>
                <c:pt idx="1">
                  <c:v>25305.5</c:v>
                </c:pt>
                <c:pt idx="2">
                  <c:v>32246</c:v>
                </c:pt>
                <c:pt idx="3">
                  <c:v>34941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A-4BD8-8482-49A437443172}"/>
            </c:ext>
          </c:extLst>
        </c:ser>
        <c:ser>
          <c:idx val="1"/>
          <c:order val="1"/>
          <c:tx>
            <c:strRef>
              <c:f>'Regional breakdown'!$A$5</c:f>
              <c:strCache>
                <c:ptCount val="1"/>
                <c:pt idx="0">
                  <c:v>EMEA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('Regional breakdown'!$G$2,'Regional breakdown'!$J$2,'Regional breakdown'!$M$2,'Regional breakdown'!$P$2)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('Regional breakdown'!$G$12,'Regional breakdown'!$J$12,'Regional breakdown'!$M$12,'Regional breakdown'!$P$12)</c:f>
              <c:numCache>
                <c:formatCode>_(#,##0.0_);_(\(#,##0.0\);_("-"_);_(@_)</c:formatCode>
                <c:ptCount val="4"/>
                <c:pt idx="0">
                  <c:v>6660.1</c:v>
                </c:pt>
                <c:pt idx="1">
                  <c:v>14606.9</c:v>
                </c:pt>
                <c:pt idx="2">
                  <c:v>21486</c:v>
                </c:pt>
                <c:pt idx="3">
                  <c:v>26241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6A-4BD8-8482-49A437443172}"/>
            </c:ext>
          </c:extLst>
        </c:ser>
        <c:ser>
          <c:idx val="2"/>
          <c:order val="2"/>
          <c:tx>
            <c:strRef>
              <c:f>'Regional breakdown'!$A$6</c:f>
              <c:strCache>
                <c:ptCount val="1"/>
                <c:pt idx="0">
                  <c:v>Latin America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('Regional breakdown'!$G$2,'Regional breakdown'!$J$2,'Regional breakdown'!$M$2,'Regional breakdown'!$P$2)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('Regional breakdown'!$G$13,'Regional breakdown'!$J$13,'Regional breakdown'!$M$13,'Regional breakdown'!$P$13)</c:f>
              <c:numCache>
                <c:formatCode>_(#,##0.0_);_(\(#,##0.0\);_("-"_);_(@_)</c:formatCode>
                <c:ptCount val="4"/>
                <c:pt idx="0">
                  <c:v>1700.8</c:v>
                </c:pt>
                <c:pt idx="1">
                  <c:v>3706</c:v>
                </c:pt>
                <c:pt idx="2">
                  <c:v>4838</c:v>
                </c:pt>
                <c:pt idx="3">
                  <c:v>6054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6A-4BD8-8482-49A437443172}"/>
            </c:ext>
          </c:extLst>
        </c:ser>
        <c:ser>
          <c:idx val="3"/>
          <c:order val="3"/>
          <c:tx>
            <c:strRef>
              <c:f>'Regional breakdown'!$A$7</c:f>
              <c:strCache>
                <c:ptCount val="1"/>
                <c:pt idx="0">
                  <c:v>Asia Pacific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('Regional breakdown'!$G$2,'Regional breakdown'!$J$2,'Regional breakdown'!$M$2,'Regional breakdown'!$P$2)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('Regional breakdown'!$G$14,'Regional breakdown'!$J$14,'Regional breakdown'!$M$14,'Regional breakdown'!$P$14)</c:f>
              <c:numCache>
                <c:formatCode>_(#,##0.0_);_(\(#,##0.0\);_("-"_);_(@_)</c:formatCode>
                <c:ptCount val="4"/>
                <c:pt idx="0">
                  <c:v>2366.1</c:v>
                </c:pt>
                <c:pt idx="1">
                  <c:v>3258.6</c:v>
                </c:pt>
                <c:pt idx="2">
                  <c:v>4642</c:v>
                </c:pt>
                <c:pt idx="3">
                  <c:v>6016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6A-4BD8-8482-49A43744317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3181072"/>
        <c:axId val="643179760"/>
      </c:lineChart>
      <c:catAx>
        <c:axId val="64318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760"/>
        <c:crosses val="autoZero"/>
        <c:auto val="1"/>
        <c:lblAlgn val="ctr"/>
        <c:lblOffset val="100"/>
        <c:noMultiLvlLbl val="0"/>
      </c:catAx>
      <c:valAx>
        <c:axId val="643179760"/>
        <c:scaling>
          <c:orientation val="minMax"/>
        </c:scaling>
        <c:delete val="1"/>
        <c:axPos val="l"/>
        <c:numFmt formatCode="_(\$* #,##0.0_);_(\$* \(#,##0.0\);_(\$* &quot;-&quot;_);_(@_)" sourceLinked="1"/>
        <c:majorTickMark val="none"/>
        <c:minorTickMark val="none"/>
        <c:tickLblPos val="nextTo"/>
        <c:crossAx val="64318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 baseline="0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'Regional breakdown'!$A$4</c:f>
              <c:strCache>
                <c:ptCount val="1"/>
                <c:pt idx="0">
                  <c:v>North America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('Regional breakdown'!$G$2,'Regional breakdown'!$J$2,'Regional breakdown'!$M$2,'Regional breakdown'!$P$2)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('Regional breakdown'!$G$18,'Regional breakdown'!$J$18,'Regional breakdown'!$M$18,'Regional breakdown'!$P$18)</c:f>
              <c:numCache>
                <c:formatCode>_(\$* #,##0.0_);_(\$* \(#,##0.0\);_(\$* "-"_);_(@_)</c:formatCode>
                <c:ptCount val="4"/>
                <c:pt idx="0">
                  <c:v>1772.7</c:v>
                </c:pt>
                <c:pt idx="1">
                  <c:v>3201.1</c:v>
                </c:pt>
                <c:pt idx="2">
                  <c:v>4210</c:v>
                </c:pt>
                <c:pt idx="3">
                  <c:v>4638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10-4445-989C-B6E9E3E508D0}"/>
            </c:ext>
          </c:extLst>
        </c:ser>
        <c:ser>
          <c:idx val="1"/>
          <c:order val="1"/>
          <c:tx>
            <c:strRef>
              <c:f>'Regional breakdown'!$A$5</c:f>
              <c:strCache>
                <c:ptCount val="1"/>
                <c:pt idx="0">
                  <c:v>EMEA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('Regional breakdown'!$G$2,'Regional breakdown'!$J$2,'Regional breakdown'!$M$2,'Regional breakdown'!$P$2)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('Regional breakdown'!$G$19,'Regional breakdown'!$J$19,'Regional breakdown'!$M$19,'Regional breakdown'!$P$19)</c:f>
              <c:numCache>
                <c:formatCode>_(#,##0.0_);_(\(#,##0.0\);_("-"_);_(@_)</c:formatCode>
                <c:ptCount val="4"/>
                <c:pt idx="0">
                  <c:v>1023.8</c:v>
                </c:pt>
                <c:pt idx="1">
                  <c:v>1930.8</c:v>
                </c:pt>
                <c:pt idx="2">
                  <c:v>2924</c:v>
                </c:pt>
                <c:pt idx="3">
                  <c:v>3615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10-4445-989C-B6E9E3E508D0}"/>
            </c:ext>
          </c:extLst>
        </c:ser>
        <c:ser>
          <c:idx val="2"/>
          <c:order val="2"/>
          <c:tx>
            <c:strRef>
              <c:f>'Regional breakdown'!$A$6</c:f>
              <c:strCache>
                <c:ptCount val="1"/>
                <c:pt idx="0">
                  <c:v>Latin America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('Regional breakdown'!$G$2,'Regional breakdown'!$J$2,'Regional breakdown'!$M$2,'Regional breakdown'!$P$2)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('Regional breakdown'!$G$20,'Regional breakdown'!$J$20,'Regional breakdown'!$M$20,'Regional breakdown'!$P$20)</c:f>
              <c:numCache>
                <c:formatCode>General</c:formatCode>
                <c:ptCount val="4"/>
                <c:pt idx="0">
                  <c:v>242</c:v>
                </c:pt>
                <c:pt idx="1">
                  <c:v>431.2</c:v>
                </c:pt>
                <c:pt idx="2">
                  <c:v>643</c:v>
                </c:pt>
                <c:pt idx="3">
                  <c:v>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10-4445-989C-B6E9E3E508D0}"/>
            </c:ext>
          </c:extLst>
        </c:ser>
        <c:ser>
          <c:idx val="3"/>
          <c:order val="3"/>
          <c:tx>
            <c:strRef>
              <c:f>'Regional breakdown'!$A$7</c:f>
              <c:strCache>
                <c:ptCount val="1"/>
                <c:pt idx="0">
                  <c:v>Asia Pacific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('Regional breakdown'!$G$2,'Regional breakdown'!$J$2,'Regional breakdown'!$M$2,'Regional breakdown'!$P$2)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('Regional breakdown'!$G$21,'Regional breakdown'!$J$21,'Regional breakdown'!$M$21,'Regional breakdown'!$P$21)</c:f>
              <c:numCache>
                <c:formatCode>General</c:formatCode>
                <c:ptCount val="4"/>
                <c:pt idx="0">
                  <c:v>339.7</c:v>
                </c:pt>
                <c:pt idx="1">
                  <c:v>428.7</c:v>
                </c:pt>
                <c:pt idx="2">
                  <c:v>622</c:v>
                </c:pt>
                <c:pt idx="3">
                  <c:v>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10-4445-989C-B6E9E3E508D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3181072"/>
        <c:axId val="643179760"/>
      </c:lineChart>
      <c:catAx>
        <c:axId val="64318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760"/>
        <c:crosses val="autoZero"/>
        <c:auto val="1"/>
        <c:lblAlgn val="ctr"/>
        <c:lblOffset val="100"/>
        <c:noMultiLvlLbl val="0"/>
      </c:catAx>
      <c:valAx>
        <c:axId val="643179760"/>
        <c:scaling>
          <c:orientation val="minMax"/>
        </c:scaling>
        <c:delete val="1"/>
        <c:axPos val="l"/>
        <c:numFmt formatCode="_(\$* #,##0.0_);_(\$* \(#,##0.0\);_(\$* &quot;-&quot;_);_(@_)" sourceLinked="1"/>
        <c:majorTickMark val="none"/>
        <c:minorTickMark val="none"/>
        <c:tickLblPos val="nextTo"/>
        <c:crossAx val="64318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59962</xdr:colOff>
      <xdr:row>4</xdr:row>
      <xdr:rowOff>87131</xdr:rowOff>
    </xdr:from>
    <xdr:to>
      <xdr:col>45</xdr:col>
      <xdr:colOff>166688</xdr:colOff>
      <xdr:row>20</xdr:row>
      <xdr:rowOff>99066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676B8-05FF-4FCA-AA68-ADD3D64DA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59531</xdr:colOff>
      <xdr:row>20</xdr:row>
      <xdr:rowOff>166687</xdr:rowOff>
    </xdr:from>
    <xdr:to>
      <xdr:col>45</xdr:col>
      <xdr:colOff>23813</xdr:colOff>
      <xdr:row>34</xdr:row>
      <xdr:rowOff>178622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54678E-D85B-46D8-8BAD-4C95FE4FD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59531</xdr:colOff>
      <xdr:row>35</xdr:row>
      <xdr:rowOff>178594</xdr:rowOff>
    </xdr:from>
    <xdr:to>
      <xdr:col>45</xdr:col>
      <xdr:colOff>23813</xdr:colOff>
      <xdr:row>51</xdr:row>
      <xdr:rowOff>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98642A-22E2-4F07-8023-2314906213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142875</xdr:colOff>
      <xdr:row>21</xdr:row>
      <xdr:rowOff>0</xdr:rowOff>
    </xdr:from>
    <xdr:to>
      <xdr:col>54</xdr:col>
      <xdr:colOff>107156</xdr:colOff>
      <xdr:row>35</xdr:row>
      <xdr:rowOff>11935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CE7497-E40D-4C98-B215-8D36CBC735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326571</xdr:colOff>
      <xdr:row>52</xdr:row>
      <xdr:rowOff>166007</xdr:rowOff>
    </xdr:from>
    <xdr:to>
      <xdr:col>24</xdr:col>
      <xdr:colOff>550334</xdr:colOff>
      <xdr:row>74</xdr:row>
      <xdr:rowOff>52917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C7AF9A-A29D-4A06-869B-47DD6D933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207170</xdr:colOff>
      <xdr:row>25</xdr:row>
      <xdr:rowOff>107156</xdr:rowOff>
    </xdr:from>
    <xdr:to>
      <xdr:col>4</xdr:col>
      <xdr:colOff>664370</xdr:colOff>
      <xdr:row>39</xdr:row>
      <xdr:rowOff>183356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8652DC-7421-4475-B616-E7762523A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25</xdr:row>
      <xdr:rowOff>154781</xdr:rowOff>
    </xdr:from>
    <xdr:to>
      <xdr:col>11</xdr:col>
      <xdr:colOff>504825</xdr:colOff>
      <xdr:row>40</xdr:row>
      <xdr:rowOff>40481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78AFC9-C7AB-4DDF-B3C5-80F2B0E4F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654845</xdr:colOff>
      <xdr:row>25</xdr:row>
      <xdr:rowOff>166689</xdr:rowOff>
    </xdr:from>
    <xdr:to>
      <xdr:col>19</xdr:col>
      <xdr:colOff>52389</xdr:colOff>
      <xdr:row>40</xdr:row>
      <xdr:rowOff>52389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9A4D8D-BAFD-4EAC-BC3D-E1495846A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601257</xdr:colOff>
      <xdr:row>0</xdr:row>
      <xdr:rowOff>122633</xdr:rowOff>
    </xdr:from>
    <xdr:to>
      <xdr:col>31</xdr:col>
      <xdr:colOff>315507</xdr:colOff>
      <xdr:row>15</xdr:row>
      <xdr:rowOff>8333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4B1B9B-CFCA-40FA-BA10-A9CD1D1CA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607210</xdr:colOff>
      <xdr:row>16</xdr:row>
      <xdr:rowOff>0</xdr:rowOff>
    </xdr:from>
    <xdr:to>
      <xdr:col>31</xdr:col>
      <xdr:colOff>321460</xdr:colOff>
      <xdr:row>30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ACDFE6-6490-4378-B59F-79FEB88AAF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595304</xdr:colOff>
      <xdr:row>31</xdr:row>
      <xdr:rowOff>1</xdr:rowOff>
    </xdr:from>
    <xdr:to>
      <xdr:col>31</xdr:col>
      <xdr:colOff>309554</xdr:colOff>
      <xdr:row>45</xdr:row>
      <xdr:rowOff>76201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5034F1-80A7-46F6-8173-0C95360D4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7AE1-E8A7-4985-879C-F0B22D265147}">
  <dimension ref="A1:B1"/>
  <sheetViews>
    <sheetView workbookViewId="0"/>
  </sheetViews>
  <sheetFormatPr defaultRowHeight="15" x14ac:dyDescent="0.25"/>
  <sheetData>
    <row r="1" spans="1:2" x14ac:dyDescent="0.25">
      <c r="B1" t="s">
        <v>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914C-1DAA-491F-816B-5952FB3E961F}">
  <sheetPr>
    <tabColor theme="0" tint="-0.499984740745262"/>
  </sheetPr>
  <dimension ref="A1:AQ103"/>
  <sheetViews>
    <sheetView zoomScale="80" zoomScaleNormal="80" workbookViewId="0">
      <pane xSplit="3" ySplit="4" topLeftCell="I5" activePane="bottomRight" state="frozen"/>
      <selection activeCell="B27" sqref="B27"/>
      <selection pane="topRight" activeCell="B27" sqref="B27"/>
      <selection pane="bottomLeft" activeCell="B27" sqref="B27"/>
      <selection pane="bottomRight" activeCell="B64" sqref="B64"/>
    </sheetView>
  </sheetViews>
  <sheetFormatPr defaultColWidth="8.85546875" defaultRowHeight="15" outlineLevelCol="1" x14ac:dyDescent="0.25"/>
  <cols>
    <col min="1" max="1" width="1.7109375" customWidth="1"/>
    <col min="2" max="2" width="69.28515625" customWidth="1"/>
    <col min="3" max="3" width="2" customWidth="1"/>
    <col min="4" max="4" width="1.7109375" hidden="1" customWidth="1" outlineLevel="1"/>
    <col min="5" max="6" width="11.42578125" hidden="1" customWidth="1" outlineLevel="1"/>
    <col min="7" max="7" width="12.42578125" hidden="1" customWidth="1" outlineLevel="1"/>
    <col min="8" max="8" width="12.28515625" hidden="1" customWidth="1" outlineLevel="1"/>
    <col min="9" max="9" width="12.42578125" customWidth="1" collapsed="1"/>
    <col min="10" max="13" width="12.140625" hidden="1" customWidth="1" outlineLevel="1"/>
    <col min="14" max="14" width="12.42578125" bestFit="1" customWidth="1" collapsed="1"/>
    <col min="15" max="18" width="12.140625" hidden="1" customWidth="1" outlineLevel="1"/>
    <col min="19" max="19" width="13.140625" bestFit="1" customWidth="1" collapsed="1"/>
    <col min="20" max="23" width="12.28515625" hidden="1" customWidth="1" outlineLevel="1"/>
    <col min="24" max="24" width="12.42578125" bestFit="1" customWidth="1" collapsed="1"/>
    <col min="25" max="28" width="12.28515625" hidden="1" customWidth="1" outlineLevel="1"/>
    <col min="29" max="29" width="12.42578125" bestFit="1" customWidth="1" collapsed="1"/>
    <col min="30" max="33" width="12.28515625" hidden="1" customWidth="1" outlineLevel="1"/>
    <col min="34" max="34" width="12.85546875" bestFit="1" customWidth="1" collapsed="1"/>
    <col min="35" max="36" width="12.85546875" bestFit="1" customWidth="1"/>
  </cols>
  <sheetData>
    <row r="1" spans="1:43" s="1" customFormat="1" x14ac:dyDescent="0.25">
      <c r="B1" s="91" t="s">
        <v>225</v>
      </c>
      <c r="C1" s="92"/>
      <c r="E1" s="93"/>
      <c r="F1" s="93"/>
      <c r="G1" s="93"/>
      <c r="H1" s="93"/>
      <c r="I1" s="94"/>
      <c r="J1" s="93"/>
      <c r="K1" s="93"/>
      <c r="L1" s="93"/>
      <c r="M1" s="93"/>
      <c r="N1" s="94"/>
      <c r="O1" s="93"/>
      <c r="P1" s="93"/>
      <c r="Q1" s="93"/>
      <c r="R1" s="93"/>
      <c r="S1" s="94"/>
      <c r="T1" s="93"/>
      <c r="U1" s="93"/>
      <c r="V1" s="93"/>
      <c r="W1" s="93"/>
      <c r="X1" s="94"/>
      <c r="Y1" s="93"/>
      <c r="Z1" s="93"/>
      <c r="AA1" s="93"/>
      <c r="AB1" s="93"/>
      <c r="AC1" s="94"/>
      <c r="AD1" s="93"/>
      <c r="AE1" s="93"/>
      <c r="AF1" s="93"/>
      <c r="AG1" s="93"/>
      <c r="AH1" s="94"/>
      <c r="AI1" s="94"/>
      <c r="AJ1" s="94"/>
      <c r="AK1"/>
      <c r="AL1"/>
      <c r="AM1"/>
      <c r="AN1"/>
      <c r="AO1"/>
      <c r="AP1"/>
      <c r="AQ1"/>
    </row>
    <row r="2" spans="1:43" x14ac:dyDescent="0.25">
      <c r="B2" s="1" t="s">
        <v>70</v>
      </c>
      <c r="C2" s="1"/>
      <c r="D2" s="95"/>
      <c r="E2" s="95" t="s">
        <v>71</v>
      </c>
      <c r="F2" s="95" t="s">
        <v>72</v>
      </c>
      <c r="G2" s="95" t="s">
        <v>73</v>
      </c>
      <c r="H2" s="95" t="s">
        <v>74</v>
      </c>
      <c r="I2" s="96">
        <v>2019</v>
      </c>
      <c r="J2" s="95" t="s">
        <v>75</v>
      </c>
      <c r="K2" s="95" t="s">
        <v>76</v>
      </c>
      <c r="L2" s="95" t="s">
        <v>77</v>
      </c>
      <c r="M2" s="95" t="s">
        <v>78</v>
      </c>
      <c r="N2" s="96">
        <v>2020</v>
      </c>
      <c r="O2" s="95" t="s">
        <v>79</v>
      </c>
      <c r="P2" s="95" t="s">
        <v>80</v>
      </c>
      <c r="Q2" s="95" t="s">
        <v>81</v>
      </c>
      <c r="R2" s="95" t="s">
        <v>82</v>
      </c>
      <c r="S2" s="96">
        <v>2021</v>
      </c>
      <c r="T2" s="95" t="s">
        <v>83</v>
      </c>
      <c r="U2" s="95" t="s">
        <v>84</v>
      </c>
      <c r="V2" s="95" t="s">
        <v>85</v>
      </c>
      <c r="W2" s="95" t="s">
        <v>86</v>
      </c>
      <c r="X2" s="96">
        <v>2022</v>
      </c>
      <c r="Y2" s="95" t="s">
        <v>87</v>
      </c>
      <c r="Z2" s="95" t="s">
        <v>88</v>
      </c>
      <c r="AA2" s="95" t="s">
        <v>89</v>
      </c>
      <c r="AB2" s="95" t="s">
        <v>90</v>
      </c>
      <c r="AC2" s="96">
        <v>2023</v>
      </c>
      <c r="AD2" s="348" t="s">
        <v>91</v>
      </c>
      <c r="AE2" s="348" t="s">
        <v>92</v>
      </c>
      <c r="AF2" s="348" t="s">
        <v>93</v>
      </c>
      <c r="AG2" s="348" t="s">
        <v>94</v>
      </c>
      <c r="AH2" s="96" t="s">
        <v>95</v>
      </c>
      <c r="AI2" s="96" t="s">
        <v>96</v>
      </c>
      <c r="AJ2" s="96" t="s">
        <v>97</v>
      </c>
    </row>
    <row r="3" spans="1:43" x14ac:dyDescent="0.25">
      <c r="A3" s="97"/>
      <c r="B3" s="98" t="s">
        <v>98</v>
      </c>
      <c r="C3" s="98"/>
      <c r="D3" s="99"/>
      <c r="E3" s="99">
        <v>43555</v>
      </c>
      <c r="F3" s="99">
        <f>EOMONTH(E3,3)</f>
        <v>43646</v>
      </c>
      <c r="G3" s="99">
        <f>EOMONTH(F3,3)</f>
        <v>43738</v>
      </c>
      <c r="H3" s="99">
        <f>EOMONTH(G3,3)</f>
        <v>43830</v>
      </c>
      <c r="I3" s="100">
        <f>+H3</f>
        <v>43830</v>
      </c>
      <c r="J3" s="101">
        <f>EOMONTH(I3,3)</f>
        <v>43921</v>
      </c>
      <c r="K3" s="101">
        <f>EOMONTH(J3,3)</f>
        <v>44012</v>
      </c>
      <c r="L3" s="101">
        <f>EOMONTH(K3,3)</f>
        <v>44104</v>
      </c>
      <c r="M3" s="101">
        <f>EOMONTH(L3,3)</f>
        <v>44196</v>
      </c>
      <c r="N3" s="102">
        <f>+M3</f>
        <v>44196</v>
      </c>
      <c r="O3" s="101">
        <f>EOMONTH(N3,3)</f>
        <v>44286</v>
      </c>
      <c r="P3" s="101">
        <f>EOMONTH(O3,3)</f>
        <v>44377</v>
      </c>
      <c r="Q3" s="101">
        <f>EOMONTH(P3,3)</f>
        <v>44469</v>
      </c>
      <c r="R3" s="101">
        <f>EOMONTH(Q3,3)</f>
        <v>44561</v>
      </c>
      <c r="S3" s="102">
        <f>+R3</f>
        <v>44561</v>
      </c>
      <c r="T3" s="101">
        <f>EOMONTH(S3,3)</f>
        <v>44651</v>
      </c>
      <c r="U3" s="101">
        <f>EOMONTH(T3,3)</f>
        <v>44742</v>
      </c>
      <c r="V3" s="103">
        <f>EOMONTH(U3,3)</f>
        <v>44834</v>
      </c>
      <c r="W3" s="103">
        <f>EOMONTH(V3,3)</f>
        <v>44926</v>
      </c>
      <c r="X3" s="104">
        <f>+EOMONTH(S3,12)</f>
        <v>44926</v>
      </c>
      <c r="Y3" s="101">
        <f>EOMONTH(W3,3)</f>
        <v>45016</v>
      </c>
      <c r="Z3" s="101">
        <f>EOMONTH(Y3,3)</f>
        <v>45107</v>
      </c>
      <c r="AA3" s="103">
        <f>EOMONTH(Z3,3)</f>
        <v>45199</v>
      </c>
      <c r="AB3" s="103">
        <f>EOMONTH(AA3,3)</f>
        <v>45291</v>
      </c>
      <c r="AC3" s="104">
        <f>+EOMONTH(X3,12)</f>
        <v>45291</v>
      </c>
      <c r="AD3" s="101">
        <f>EOMONTH(AB3,3)</f>
        <v>45382</v>
      </c>
      <c r="AE3" s="101">
        <f>EOMONTH(AD3,3)</f>
        <v>45473</v>
      </c>
      <c r="AF3" s="103">
        <f>EOMONTH(AE3,3)</f>
        <v>45565</v>
      </c>
      <c r="AG3" s="103">
        <f>EOMONTH(AF3,3)</f>
        <v>45657</v>
      </c>
      <c r="AH3" s="105">
        <f>+EOMONTH(AC3,12)</f>
        <v>45657</v>
      </c>
      <c r="AI3" s="105">
        <f>+EOMONTH(AG3,12)</f>
        <v>46022</v>
      </c>
      <c r="AJ3" s="105">
        <f>+EOMONTH(AH3,12)</f>
        <v>46022</v>
      </c>
    </row>
    <row r="4" spans="1:43" x14ac:dyDescent="0.25">
      <c r="B4" s="106" t="s">
        <v>99</v>
      </c>
      <c r="C4" s="106"/>
      <c r="E4" s="107">
        <v>90</v>
      </c>
      <c r="F4" s="107">
        <f>+F3-E3</f>
        <v>91</v>
      </c>
      <c r="G4" s="107">
        <f>+G3-F3</f>
        <v>92</v>
      </c>
      <c r="H4" s="107">
        <f>+H3-G3</f>
        <v>92</v>
      </c>
      <c r="I4" s="108">
        <v>365</v>
      </c>
      <c r="J4" s="109">
        <f>+J3-I3</f>
        <v>91</v>
      </c>
      <c r="K4" s="109">
        <f>+K3-J3</f>
        <v>91</v>
      </c>
      <c r="L4" s="109">
        <f>+L3-K3</f>
        <v>92</v>
      </c>
      <c r="M4" s="109">
        <f>+M3-L3</f>
        <v>92</v>
      </c>
      <c r="N4" s="110">
        <f>+N3-I3</f>
        <v>366</v>
      </c>
      <c r="O4" s="109">
        <f>+O3-N3</f>
        <v>90</v>
      </c>
      <c r="P4" s="109">
        <f>+P3-O3</f>
        <v>91</v>
      </c>
      <c r="Q4" s="109">
        <f>+Q3-P3</f>
        <v>92</v>
      </c>
      <c r="R4" s="109">
        <f>+R3-Q3</f>
        <v>92</v>
      </c>
      <c r="S4" s="110">
        <f>+S3-N3</f>
        <v>365</v>
      </c>
      <c r="T4" s="109">
        <f>+T3-S3</f>
        <v>90</v>
      </c>
      <c r="U4" s="109">
        <f>+U3-T3</f>
        <v>91</v>
      </c>
      <c r="V4" s="111">
        <f>+V3-U3</f>
        <v>92</v>
      </c>
      <c r="W4" s="111">
        <f>+W3-V3</f>
        <v>92</v>
      </c>
      <c r="X4" s="112">
        <f>X3-S3</f>
        <v>365</v>
      </c>
      <c r="Y4" s="109">
        <f>+Y3-W3</f>
        <v>90</v>
      </c>
      <c r="Z4" s="109">
        <f>+Z3-Y3</f>
        <v>91</v>
      </c>
      <c r="AA4" s="111">
        <f>+AA3-Z3</f>
        <v>92</v>
      </c>
      <c r="AB4" s="111">
        <f>+AB3-AA3</f>
        <v>92</v>
      </c>
      <c r="AC4" s="112">
        <f>AC3-X3</f>
        <v>365</v>
      </c>
      <c r="AD4" s="109">
        <f>+AD3-AB3</f>
        <v>91</v>
      </c>
      <c r="AE4" s="109">
        <f>+AE3-AD3</f>
        <v>91</v>
      </c>
      <c r="AF4" s="111">
        <f>+AF3-AE3</f>
        <v>92</v>
      </c>
      <c r="AG4" s="111">
        <f>+AG3-AF3</f>
        <v>92</v>
      </c>
      <c r="AH4" s="113">
        <f>AH3-AC3</f>
        <v>366</v>
      </c>
      <c r="AI4" s="113">
        <f>AI3-AG3</f>
        <v>365</v>
      </c>
      <c r="AJ4" s="113">
        <f>AJ3-AH3</f>
        <v>365</v>
      </c>
    </row>
    <row r="5" spans="1:43" x14ac:dyDescent="0.25">
      <c r="A5" s="114"/>
      <c r="B5" s="114" t="s">
        <v>100</v>
      </c>
      <c r="C5" s="114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6"/>
      <c r="W5" s="116"/>
      <c r="X5" s="115"/>
      <c r="Y5" s="115"/>
      <c r="Z5" s="115"/>
      <c r="AA5" s="116"/>
      <c r="AB5" s="116"/>
      <c r="AC5" s="115"/>
      <c r="AF5" s="180"/>
      <c r="AG5" s="180"/>
      <c r="AH5" s="115"/>
      <c r="AI5" s="115"/>
      <c r="AJ5" s="115"/>
    </row>
    <row r="6" spans="1:43" x14ac:dyDescent="0.25">
      <c r="B6" t="s">
        <v>3</v>
      </c>
      <c r="C6" s="106"/>
      <c r="E6" s="107"/>
      <c r="F6" s="107"/>
      <c r="G6" s="107"/>
      <c r="H6" s="107"/>
      <c r="I6" s="108"/>
      <c r="J6" s="109"/>
      <c r="K6" s="109"/>
      <c r="L6" s="109"/>
      <c r="M6" s="109"/>
      <c r="N6" s="108">
        <v>1772.7</v>
      </c>
      <c r="O6" s="109"/>
      <c r="P6" s="109"/>
      <c r="Q6" s="109"/>
      <c r="R6" s="109"/>
      <c r="S6" s="108">
        <v>3201.1</v>
      </c>
      <c r="T6" s="109">
        <v>822</v>
      </c>
      <c r="U6" s="109">
        <v>1098</v>
      </c>
      <c r="V6" s="109">
        <v>1326</v>
      </c>
      <c r="W6" s="335">
        <f>X6-V6-U6-T6</f>
        <v>964</v>
      </c>
      <c r="X6" s="108">
        <v>4210</v>
      </c>
      <c r="Y6" s="109">
        <v>925</v>
      </c>
      <c r="Z6" s="109">
        <v>1192</v>
      </c>
      <c r="AA6" s="109">
        <v>1478</v>
      </c>
      <c r="AB6" s="335">
        <f>AC6-AA6-Z6-Y6</f>
        <v>1043</v>
      </c>
      <c r="AC6" s="334">
        <v>4638</v>
      </c>
      <c r="AD6" s="335">
        <v>1015</v>
      </c>
      <c r="AE6" s="349"/>
      <c r="AF6" s="349"/>
      <c r="AG6" s="349"/>
      <c r="AH6" s="108"/>
      <c r="AI6" s="113"/>
      <c r="AJ6" s="113"/>
    </row>
    <row r="7" spans="1:43" x14ac:dyDescent="0.25">
      <c r="B7" t="s">
        <v>277</v>
      </c>
      <c r="C7" s="106"/>
      <c r="E7" s="107"/>
      <c r="F7" s="107"/>
      <c r="G7" s="107"/>
      <c r="H7" s="107"/>
      <c r="I7" s="108"/>
      <c r="J7" s="109"/>
      <c r="K7" s="109"/>
      <c r="L7" s="109"/>
      <c r="M7" s="109"/>
      <c r="N7" s="108">
        <v>1023.8</v>
      </c>
      <c r="O7" s="109"/>
      <c r="P7" s="109"/>
      <c r="Q7" s="109"/>
      <c r="R7" s="109"/>
      <c r="S7" s="108">
        <v>1930.8</v>
      </c>
      <c r="T7" s="109">
        <v>373</v>
      </c>
      <c r="U7" s="109">
        <v>732</v>
      </c>
      <c r="V7" s="109">
        <v>1263</v>
      </c>
      <c r="W7" s="335">
        <f>X7-V7-U7-T7</f>
        <v>556</v>
      </c>
      <c r="X7" s="108">
        <v>2924</v>
      </c>
      <c r="Y7" s="109">
        <v>458</v>
      </c>
      <c r="Z7" s="109">
        <v>941</v>
      </c>
      <c r="AA7" s="109">
        <v>1533</v>
      </c>
      <c r="AB7" s="335">
        <f>AC7-AA7-Z7-Y7</f>
        <v>683</v>
      </c>
      <c r="AC7" s="334">
        <v>3615</v>
      </c>
      <c r="AD7" s="335">
        <v>567</v>
      </c>
      <c r="AE7" s="349"/>
      <c r="AF7" s="349"/>
      <c r="AG7" s="349"/>
      <c r="AH7" s="108"/>
      <c r="AI7" s="113"/>
      <c r="AJ7" s="113"/>
    </row>
    <row r="8" spans="1:43" x14ac:dyDescent="0.25">
      <c r="B8" t="s">
        <v>5</v>
      </c>
      <c r="C8" s="106"/>
      <c r="E8" s="107"/>
      <c r="F8" s="107"/>
      <c r="G8" s="107"/>
      <c r="H8" s="107"/>
      <c r="I8" s="108"/>
      <c r="J8" s="109"/>
      <c r="K8" s="109"/>
      <c r="L8" s="109"/>
      <c r="M8" s="109"/>
      <c r="N8" s="108">
        <v>242</v>
      </c>
      <c r="O8" s="109"/>
      <c r="P8" s="109"/>
      <c r="Q8" s="109"/>
      <c r="R8" s="109"/>
      <c r="S8" s="108">
        <v>431.2</v>
      </c>
      <c r="T8" s="109">
        <v>178</v>
      </c>
      <c r="U8" s="109">
        <v>137</v>
      </c>
      <c r="V8" s="109">
        <v>139</v>
      </c>
      <c r="W8" s="335">
        <f>X8-V8-U8-T8</f>
        <v>189</v>
      </c>
      <c r="X8" s="108">
        <v>643</v>
      </c>
      <c r="Y8" s="109">
        <v>235</v>
      </c>
      <c r="Z8" s="109">
        <v>163</v>
      </c>
      <c r="AA8" s="109">
        <v>178</v>
      </c>
      <c r="AB8" s="335">
        <f>AC8-AA8-Z8-Y8</f>
        <v>248</v>
      </c>
      <c r="AC8" s="334">
        <v>824</v>
      </c>
      <c r="AD8" s="335">
        <v>307</v>
      </c>
      <c r="AE8" s="349"/>
      <c r="AF8" s="349"/>
      <c r="AG8" s="349"/>
      <c r="AH8" s="108"/>
      <c r="AI8" s="113"/>
      <c r="AJ8" s="113"/>
    </row>
    <row r="9" spans="1:43" x14ac:dyDescent="0.25">
      <c r="B9" t="s">
        <v>6</v>
      </c>
      <c r="C9" s="106"/>
      <c r="E9" s="107"/>
      <c r="F9" s="107"/>
      <c r="G9" s="107"/>
      <c r="H9" s="107"/>
      <c r="I9" s="108"/>
      <c r="J9" s="109"/>
      <c r="K9" s="109"/>
      <c r="L9" s="109"/>
      <c r="M9" s="109"/>
      <c r="N9" s="108">
        <v>339.7</v>
      </c>
      <c r="O9" s="109"/>
      <c r="P9" s="109"/>
      <c r="Q9" s="109"/>
      <c r="R9" s="109"/>
      <c r="S9" s="108">
        <v>428.7</v>
      </c>
      <c r="T9" s="109">
        <v>136</v>
      </c>
      <c r="U9" s="109">
        <v>137</v>
      </c>
      <c r="V9" s="109">
        <v>156</v>
      </c>
      <c r="W9" s="335">
        <f>X9-V9-U9-T9</f>
        <v>193</v>
      </c>
      <c r="X9" s="108">
        <v>622</v>
      </c>
      <c r="Y9" s="109">
        <v>200</v>
      </c>
      <c r="Z9" s="109">
        <v>188</v>
      </c>
      <c r="AA9" s="109">
        <v>208</v>
      </c>
      <c r="AB9" s="335">
        <f>AC9-AA9-Z9-Y9</f>
        <v>244</v>
      </c>
      <c r="AC9" s="334">
        <v>840</v>
      </c>
      <c r="AD9" s="335">
        <v>253</v>
      </c>
      <c r="AE9" s="349"/>
      <c r="AF9" s="349"/>
      <c r="AG9" s="349"/>
      <c r="AH9" s="108"/>
      <c r="AI9" s="113"/>
      <c r="AJ9" s="113"/>
    </row>
    <row r="10" spans="1:43" s="1" customFormat="1" x14ac:dyDescent="0.25">
      <c r="B10" s="1" t="s">
        <v>101</v>
      </c>
      <c r="C10" s="117"/>
      <c r="E10" s="118"/>
      <c r="F10" s="118"/>
      <c r="G10" s="118"/>
      <c r="H10" s="118"/>
      <c r="I10" s="336">
        <v>4805.2389999999996</v>
      </c>
      <c r="J10" s="335">
        <v>841.83</v>
      </c>
      <c r="K10" s="335">
        <v>334.774</v>
      </c>
      <c r="L10" s="335">
        <v>1342.3309999999999</v>
      </c>
      <c r="M10" s="335">
        <f>N10-L10-K10-J10</f>
        <v>859.26400000000001</v>
      </c>
      <c r="N10" s="336">
        <v>3378.1990000000001</v>
      </c>
      <c r="O10" s="335">
        <v>886.93600000000004</v>
      </c>
      <c r="P10" s="335">
        <v>1335.1959999999999</v>
      </c>
      <c r="Q10" s="335">
        <v>2237.4319999999998</v>
      </c>
      <c r="R10" s="335">
        <f>S10-Q10-P10-O10</f>
        <v>1532.1960000000004</v>
      </c>
      <c r="S10" s="336">
        <v>5991.76</v>
      </c>
      <c r="T10" s="335">
        <v>1508.9369999999999</v>
      </c>
      <c r="U10" s="335">
        <v>2104.107</v>
      </c>
      <c r="V10" s="335">
        <v>2884.41</v>
      </c>
      <c r="W10" s="335">
        <f>X10-V10-U10-T10</f>
        <v>1901.5460000000003</v>
      </c>
      <c r="X10" s="336">
        <v>8399</v>
      </c>
      <c r="Y10" s="335">
        <v>1818</v>
      </c>
      <c r="Z10" s="335">
        <v>2484</v>
      </c>
      <c r="AA10" s="335">
        <v>3397</v>
      </c>
      <c r="AB10" s="335">
        <f>AC10-AA10-Z10-Y10</f>
        <v>2218</v>
      </c>
      <c r="AC10" s="336">
        <v>9917</v>
      </c>
      <c r="AD10" s="351">
        <v>2142</v>
      </c>
      <c r="AE10" s="350"/>
      <c r="AF10" s="350"/>
      <c r="AG10" s="350"/>
      <c r="AH10" s="119"/>
      <c r="AI10" s="120"/>
      <c r="AJ10" s="120"/>
    </row>
    <row r="11" spans="1:43" s="1" customFormat="1" x14ac:dyDescent="0.25">
      <c r="C11" s="117"/>
      <c r="E11" s="118"/>
      <c r="F11" s="118"/>
      <c r="G11" s="118"/>
      <c r="H11" s="118"/>
      <c r="I11" s="336"/>
      <c r="J11" s="335"/>
      <c r="K11" s="335"/>
      <c r="L11" s="335"/>
      <c r="M11" s="335"/>
      <c r="N11" s="336"/>
      <c r="O11" s="335"/>
      <c r="P11" s="335"/>
      <c r="Q11" s="335"/>
      <c r="R11" s="335"/>
      <c r="S11" s="336"/>
      <c r="T11" s="335"/>
      <c r="U11" s="335"/>
      <c r="V11" s="335"/>
      <c r="W11" s="335"/>
      <c r="X11" s="336"/>
      <c r="Y11" s="335"/>
      <c r="Z11" s="335"/>
      <c r="AA11" s="335"/>
      <c r="AB11" s="335"/>
      <c r="AC11" s="336"/>
      <c r="AD11" s="351"/>
      <c r="AE11" s="350"/>
      <c r="AF11" s="350"/>
      <c r="AG11" s="350"/>
      <c r="AH11" s="119"/>
      <c r="AI11" s="120"/>
      <c r="AJ11" s="120"/>
    </row>
    <row r="12" spans="1:43" ht="15" customHeight="1" x14ac:dyDescent="0.25">
      <c r="B12" s="1" t="s">
        <v>226</v>
      </c>
      <c r="C12" s="106"/>
      <c r="E12" s="107"/>
      <c r="F12" s="107"/>
      <c r="G12" s="107"/>
      <c r="H12" s="107"/>
      <c r="I12" s="334"/>
      <c r="J12" s="335"/>
      <c r="K12" s="335"/>
      <c r="L12" s="335"/>
      <c r="M12" s="335"/>
      <c r="N12" s="334"/>
      <c r="O12" s="335"/>
      <c r="P12" s="335"/>
      <c r="Q12" s="335"/>
      <c r="R12" s="335"/>
      <c r="S12" s="334"/>
      <c r="T12" s="335"/>
      <c r="U12" s="335"/>
      <c r="V12" s="335"/>
      <c r="W12" s="335"/>
      <c r="X12" s="334"/>
      <c r="Y12" s="335"/>
      <c r="Z12" s="335"/>
      <c r="AA12" s="335"/>
      <c r="AB12" s="335"/>
      <c r="AC12" s="334"/>
      <c r="AD12" s="335"/>
      <c r="AE12" s="349"/>
      <c r="AF12" s="349"/>
      <c r="AG12" s="349"/>
      <c r="AH12" s="108"/>
      <c r="AI12" s="113"/>
      <c r="AJ12" s="113"/>
    </row>
    <row r="13" spans="1:43" x14ac:dyDescent="0.25">
      <c r="B13" t="s">
        <v>227</v>
      </c>
      <c r="C13" s="106"/>
      <c r="E13" s="107"/>
      <c r="F13" s="107"/>
      <c r="G13" s="107"/>
      <c r="H13" s="107"/>
      <c r="I13" s="334">
        <v>1196.3130000000001</v>
      </c>
      <c r="J13" s="335">
        <v>277.77199999999999</v>
      </c>
      <c r="K13" s="335">
        <v>161.19800000000001</v>
      </c>
      <c r="L13" s="335">
        <v>227.32499999999999</v>
      </c>
      <c r="M13" s="335">
        <f>N13-L13-K13-J13</f>
        <v>209.74700000000013</v>
      </c>
      <c r="N13" s="334">
        <v>876.04200000000003</v>
      </c>
      <c r="O13" s="335">
        <v>254.51499999999999</v>
      </c>
      <c r="P13" s="335">
        <v>294.42700000000002</v>
      </c>
      <c r="Q13" s="335">
        <v>311.58</v>
      </c>
      <c r="R13" s="335">
        <f>S13-Q13-P13-O13</f>
        <v>295.47800000000007</v>
      </c>
      <c r="S13" s="334">
        <v>1156</v>
      </c>
      <c r="T13" s="335">
        <v>362.62299999999999</v>
      </c>
      <c r="U13" s="335">
        <v>390.10700000000003</v>
      </c>
      <c r="V13" s="335">
        <v>401.149</v>
      </c>
      <c r="W13" s="335">
        <f>X13-V13-U13-T13</f>
        <v>345.12100000000015</v>
      </c>
      <c r="X13" s="334">
        <v>1499</v>
      </c>
      <c r="Y13" s="335">
        <v>428</v>
      </c>
      <c r="Z13" s="335">
        <v>432</v>
      </c>
      <c r="AA13" s="335">
        <v>459</v>
      </c>
      <c r="AB13" s="335">
        <f>AC13-AA13-Z13-Y13</f>
        <v>384</v>
      </c>
      <c r="AC13" s="334">
        <v>1703</v>
      </c>
      <c r="AD13" s="335">
        <v>480</v>
      </c>
      <c r="AE13" s="349"/>
      <c r="AF13" s="349"/>
      <c r="AG13" s="349"/>
      <c r="AH13" s="108"/>
      <c r="AI13" s="113"/>
      <c r="AJ13" s="113"/>
    </row>
    <row r="14" spans="1:43" x14ac:dyDescent="0.25">
      <c r="C14" s="106"/>
      <c r="E14" s="107"/>
      <c r="F14" s="107"/>
      <c r="G14" s="107"/>
      <c r="H14" s="107"/>
      <c r="I14" s="334"/>
      <c r="J14" s="335"/>
      <c r="K14" s="335"/>
      <c r="L14" s="335"/>
      <c r="M14" s="335"/>
      <c r="N14" s="334"/>
      <c r="O14" s="335"/>
      <c r="P14" s="335"/>
      <c r="Q14" s="335"/>
      <c r="R14" s="335"/>
      <c r="S14" s="334"/>
      <c r="T14" s="335"/>
      <c r="U14" s="335"/>
      <c r="V14" s="335"/>
      <c r="W14" s="335"/>
      <c r="X14" s="334"/>
      <c r="Y14" s="335"/>
      <c r="Z14" s="335"/>
      <c r="AA14" s="335"/>
      <c r="AB14" s="335"/>
      <c r="AC14" s="334"/>
      <c r="AD14" s="335"/>
      <c r="AE14" s="349"/>
      <c r="AF14" s="349"/>
      <c r="AG14" s="349"/>
      <c r="AH14" s="108"/>
      <c r="AI14" s="113"/>
      <c r="AJ14" s="113"/>
    </row>
    <row r="15" spans="1:43" x14ac:dyDescent="0.25">
      <c r="B15" t="s">
        <v>228</v>
      </c>
      <c r="C15" s="106"/>
      <c r="E15" s="107"/>
      <c r="F15" s="107"/>
      <c r="G15" s="107"/>
      <c r="H15" s="107"/>
      <c r="I15" s="334">
        <v>815.07399999999996</v>
      </c>
      <c r="J15" s="335">
        <v>221.78700000000001</v>
      </c>
      <c r="K15" s="335">
        <v>160.476</v>
      </c>
      <c r="L15" s="335">
        <v>166.10599999999999</v>
      </c>
      <c r="M15" s="335">
        <f t="shared" ref="M15:M19" si="0">N15-L15-K15-J15</f>
        <v>329.53199999999993</v>
      </c>
      <c r="N15" s="334">
        <v>877.90099999999995</v>
      </c>
      <c r="O15" s="335">
        <v>185.43600000000001</v>
      </c>
      <c r="P15" s="335">
        <v>208.125</v>
      </c>
      <c r="Q15" s="335">
        <v>228.33</v>
      </c>
      <c r="R15" s="335">
        <f t="shared" ref="R15:R19" si="1">S15-Q15-P15-O15</f>
        <v>225.16599999999997</v>
      </c>
      <c r="S15" s="334">
        <v>847.05700000000002</v>
      </c>
      <c r="T15" s="335">
        <v>233.012</v>
      </c>
      <c r="U15" s="335">
        <v>258.255</v>
      </c>
      <c r="V15" s="335">
        <v>289.94600000000003</v>
      </c>
      <c r="W15" s="335">
        <f t="shared" ref="W15:W19" si="2">X15-V15-U15-T15</f>
        <v>259.78699999999998</v>
      </c>
      <c r="X15" s="334">
        <v>1041</v>
      </c>
      <c r="Y15" s="335">
        <v>282</v>
      </c>
      <c r="Z15" s="335">
        <v>317</v>
      </c>
      <c r="AA15" s="335">
        <v>316</v>
      </c>
      <c r="AB15" s="335">
        <f t="shared" ref="AB15:AB18" si="3">AC15-AA15-Z15-Y15</f>
        <v>271</v>
      </c>
      <c r="AC15" s="334">
        <v>1186</v>
      </c>
      <c r="AD15" s="335">
        <v>285</v>
      </c>
      <c r="AE15" s="349"/>
      <c r="AF15" s="349"/>
      <c r="AG15" s="349"/>
      <c r="AH15" s="108"/>
      <c r="AI15" s="113"/>
      <c r="AJ15" s="113"/>
    </row>
    <row r="16" spans="1:43" x14ac:dyDescent="0.25">
      <c r="B16" t="s">
        <v>229</v>
      </c>
      <c r="C16" s="106"/>
      <c r="E16" s="107"/>
      <c r="F16" s="107"/>
      <c r="G16" s="107"/>
      <c r="H16" s="107"/>
      <c r="I16" s="334">
        <v>976.69500000000005</v>
      </c>
      <c r="J16" s="335">
        <v>258.81900000000002</v>
      </c>
      <c r="K16" s="335">
        <v>217.93799999999999</v>
      </c>
      <c r="L16" s="335">
        <v>213.92</v>
      </c>
      <c r="M16" s="335">
        <f t="shared" si="0"/>
        <v>2062.1949999999997</v>
      </c>
      <c r="N16" s="334">
        <v>2752.8719999999998</v>
      </c>
      <c r="O16" s="335">
        <v>363.06099999999998</v>
      </c>
      <c r="P16" s="335">
        <v>349.73399999999998</v>
      </c>
      <c r="Q16" s="335">
        <v>344.41</v>
      </c>
      <c r="R16" s="335">
        <f t="shared" si="1"/>
        <v>367.84300000000002</v>
      </c>
      <c r="S16" s="334">
        <v>1425.048</v>
      </c>
      <c r="T16" s="335">
        <v>362.92700000000002</v>
      </c>
      <c r="U16" s="335">
        <v>375.05</v>
      </c>
      <c r="V16" s="335">
        <v>366.18200000000002</v>
      </c>
      <c r="W16" s="335">
        <f t="shared" si="2"/>
        <v>397.84100000000001</v>
      </c>
      <c r="X16" s="334">
        <v>1502</v>
      </c>
      <c r="Y16" s="335">
        <v>420</v>
      </c>
      <c r="Z16" s="335">
        <v>451</v>
      </c>
      <c r="AA16" s="335">
        <v>419</v>
      </c>
      <c r="AB16" s="335">
        <f t="shared" si="3"/>
        <v>432</v>
      </c>
      <c r="AC16" s="334">
        <v>1722</v>
      </c>
      <c r="AD16" s="335">
        <v>475</v>
      </c>
      <c r="AE16" s="349"/>
      <c r="AF16" s="349"/>
      <c r="AG16" s="349"/>
      <c r="AH16" s="108"/>
      <c r="AI16" s="113"/>
      <c r="AJ16" s="113"/>
    </row>
    <row r="17" spans="2:36" x14ac:dyDescent="0.25">
      <c r="B17" t="s">
        <v>230</v>
      </c>
      <c r="C17" s="106"/>
      <c r="E17" s="107"/>
      <c r="F17" s="107"/>
      <c r="G17" s="107"/>
      <c r="H17" s="107"/>
      <c r="I17" s="334">
        <v>1621.519</v>
      </c>
      <c r="J17" s="335">
        <v>317.17899999999997</v>
      </c>
      <c r="K17" s="335">
        <v>114.837</v>
      </c>
      <c r="L17" s="335">
        <v>113.494</v>
      </c>
      <c r="M17" s="335">
        <f t="shared" si="0"/>
        <v>629.81500000000017</v>
      </c>
      <c r="N17" s="334">
        <v>1175.325</v>
      </c>
      <c r="O17" s="335">
        <v>229.125</v>
      </c>
      <c r="P17" s="335">
        <v>315.32299999999998</v>
      </c>
      <c r="Q17" s="335">
        <v>290.85599999999999</v>
      </c>
      <c r="R17" s="335">
        <f t="shared" si="1"/>
        <v>351.02800000000013</v>
      </c>
      <c r="S17" s="334">
        <v>1186.3320000000001</v>
      </c>
      <c r="T17" s="335">
        <v>344.61599999999999</v>
      </c>
      <c r="U17" s="335">
        <v>379.875</v>
      </c>
      <c r="V17" s="335">
        <v>383.16500000000002</v>
      </c>
      <c r="W17" s="335">
        <f t="shared" si="2"/>
        <v>408.34400000000005</v>
      </c>
      <c r="X17" s="334">
        <v>1516</v>
      </c>
      <c r="Y17" s="335">
        <v>450</v>
      </c>
      <c r="Z17" s="335">
        <v>486</v>
      </c>
      <c r="AA17" s="335">
        <v>403</v>
      </c>
      <c r="AB17" s="335">
        <f t="shared" si="3"/>
        <v>424</v>
      </c>
      <c r="AC17" s="334">
        <v>1763</v>
      </c>
      <c r="AD17" s="335">
        <v>514</v>
      </c>
      <c r="AE17" s="349"/>
      <c r="AF17" s="349"/>
      <c r="AG17" s="349"/>
      <c r="AH17" s="108"/>
      <c r="AI17" s="113"/>
      <c r="AJ17" s="113"/>
    </row>
    <row r="18" spans="2:36" x14ac:dyDescent="0.25">
      <c r="B18" t="s">
        <v>231</v>
      </c>
      <c r="C18" s="106"/>
      <c r="E18" s="107"/>
      <c r="F18" s="107"/>
      <c r="G18" s="107"/>
      <c r="H18" s="107"/>
      <c r="I18" s="334">
        <v>697.18100000000004</v>
      </c>
      <c r="J18" s="335">
        <v>91.762</v>
      </c>
      <c r="K18" s="335">
        <v>149.29900000000001</v>
      </c>
      <c r="L18" s="335">
        <v>180.02099999999999</v>
      </c>
      <c r="M18" s="335">
        <f t="shared" si="0"/>
        <v>713.76900000000023</v>
      </c>
      <c r="N18" s="334">
        <v>1134.8510000000001</v>
      </c>
      <c r="O18" s="335">
        <v>189.762</v>
      </c>
      <c r="P18" s="335">
        <v>218.303</v>
      </c>
      <c r="Q18" s="335">
        <v>210.74799999999999</v>
      </c>
      <c r="R18" s="335">
        <f t="shared" si="1"/>
        <v>216.51100000000002</v>
      </c>
      <c r="S18" s="334">
        <v>835.32399999999996</v>
      </c>
      <c r="T18" s="335">
        <v>210.57300000000001</v>
      </c>
      <c r="U18" s="335">
        <v>243.25399999999999</v>
      </c>
      <c r="V18" s="335">
        <v>240.435</v>
      </c>
      <c r="W18" s="335">
        <f t="shared" si="2"/>
        <v>255.73800000000003</v>
      </c>
      <c r="X18" s="334">
        <v>950</v>
      </c>
      <c r="Y18" s="335">
        <v>243</v>
      </c>
      <c r="Z18" s="335">
        <v>275</v>
      </c>
      <c r="AA18" s="335">
        <v>304</v>
      </c>
      <c r="AB18" s="361">
        <f t="shared" si="3"/>
        <v>1203</v>
      </c>
      <c r="AC18" s="334">
        <v>2025</v>
      </c>
      <c r="AD18" s="335">
        <v>287</v>
      </c>
      <c r="AE18" s="349"/>
      <c r="AF18" s="349"/>
      <c r="AG18" s="349"/>
      <c r="AH18" s="108"/>
      <c r="AI18" s="113"/>
      <c r="AJ18" s="113"/>
    </row>
    <row r="19" spans="2:36" x14ac:dyDescent="0.25">
      <c r="B19" t="s">
        <v>232</v>
      </c>
      <c r="C19" s="106"/>
      <c r="E19" s="107"/>
      <c r="F19" s="107"/>
      <c r="G19" s="107"/>
      <c r="H19" s="107"/>
      <c r="I19" s="334"/>
      <c r="J19" s="335"/>
      <c r="K19" s="335">
        <v>114.241</v>
      </c>
      <c r="L19" s="335">
        <v>22.728000000000002</v>
      </c>
      <c r="M19" s="335">
        <f t="shared" si="0"/>
        <v>14.385999999999981</v>
      </c>
      <c r="N19" s="334">
        <v>151.35499999999999</v>
      </c>
      <c r="O19" s="335">
        <v>111.982</v>
      </c>
      <c r="P19" s="335">
        <v>562</v>
      </c>
      <c r="Q19" s="335">
        <v>-465</v>
      </c>
      <c r="R19" s="335">
        <f t="shared" si="1"/>
        <v>-96.132999999999953</v>
      </c>
      <c r="S19" s="334">
        <v>112.849</v>
      </c>
      <c r="T19" s="335">
        <v>317</v>
      </c>
      <c r="U19" s="335">
        <v>88.742999999999995</v>
      </c>
      <c r="V19" s="362">
        <v>52</v>
      </c>
      <c r="W19" s="335">
        <f t="shared" si="2"/>
        <v>-368.74299999999999</v>
      </c>
      <c r="X19" s="334">
        <v>89</v>
      </c>
      <c r="Y19" s="335"/>
      <c r="Z19" s="335"/>
      <c r="AA19" s="335"/>
      <c r="AB19" s="335"/>
      <c r="AC19" s="334" t="s">
        <v>116</v>
      </c>
      <c r="AD19" s="335"/>
      <c r="AE19" s="349"/>
      <c r="AF19" s="349"/>
      <c r="AG19" s="349"/>
      <c r="AH19" s="108"/>
      <c r="AI19" s="113"/>
      <c r="AJ19" s="113"/>
    </row>
    <row r="20" spans="2:36" x14ac:dyDescent="0.25">
      <c r="B20" s="1" t="s">
        <v>233</v>
      </c>
      <c r="C20" s="106"/>
      <c r="E20" s="107"/>
      <c r="F20" s="107"/>
      <c r="G20" s="107"/>
      <c r="H20" s="107"/>
      <c r="I20" s="334">
        <v>5306.7820000000002</v>
      </c>
      <c r="J20" s="335">
        <v>1167.319</v>
      </c>
      <c r="K20" s="335">
        <v>917.98900000000003</v>
      </c>
      <c r="L20" s="335">
        <v>923.59400000000005</v>
      </c>
      <c r="M20" s="335">
        <f>N20-L20-K20-J20</f>
        <v>3959.4439999999991</v>
      </c>
      <c r="N20" s="334">
        <v>6968.3459999999995</v>
      </c>
      <c r="O20" s="335">
        <v>1333.8810000000001</v>
      </c>
      <c r="P20" s="335">
        <v>1386.4739999999999</v>
      </c>
      <c r="Q20" s="335">
        <v>1385.4590000000001</v>
      </c>
      <c r="R20" s="335">
        <f>S20-Q20-P20-O20</f>
        <v>1456.6290000000001</v>
      </c>
      <c r="S20" s="334">
        <v>5562.4430000000002</v>
      </c>
      <c r="T20" s="335">
        <v>1514.068</v>
      </c>
      <c r="U20" s="335">
        <v>1735.2840000000001</v>
      </c>
      <c r="V20" s="335">
        <v>1680.9290000000001</v>
      </c>
      <c r="W20" s="335">
        <f>X20-V20-U20-T20</f>
        <v>1666.7189999999998</v>
      </c>
      <c r="X20" s="334">
        <v>6597</v>
      </c>
      <c r="Y20" s="335">
        <v>1823</v>
      </c>
      <c r="Z20" s="335">
        <v>1961</v>
      </c>
      <c r="AA20" s="335">
        <v>1901</v>
      </c>
      <c r="AB20" s="335">
        <f>AC20-AA20-Z20-Y20</f>
        <v>2714</v>
      </c>
      <c r="AC20" s="334">
        <v>8399</v>
      </c>
      <c r="AD20" s="335">
        <v>2041</v>
      </c>
      <c r="AE20" s="349"/>
      <c r="AF20" s="349"/>
      <c r="AG20" s="349"/>
      <c r="AH20" s="108"/>
      <c r="AI20" s="113"/>
      <c r="AJ20" s="113"/>
    </row>
    <row r="21" spans="2:36" x14ac:dyDescent="0.25">
      <c r="C21" s="106"/>
      <c r="E21" s="107"/>
      <c r="F21" s="107"/>
      <c r="G21" s="107"/>
      <c r="H21" s="107"/>
      <c r="I21" s="334"/>
      <c r="J21" s="335"/>
      <c r="K21" s="335"/>
      <c r="L21" s="335"/>
      <c r="M21" s="335"/>
      <c r="N21" s="334"/>
      <c r="O21" s="335"/>
      <c r="P21" s="335"/>
      <c r="Q21" s="335"/>
      <c r="R21" s="335"/>
      <c r="S21" s="334"/>
      <c r="T21" s="335"/>
      <c r="U21" s="335"/>
      <c r="V21" s="335"/>
      <c r="W21" s="335"/>
      <c r="X21" s="334"/>
      <c r="Y21" s="335"/>
      <c r="Z21" s="335"/>
      <c r="AA21" s="335"/>
      <c r="AB21" s="335"/>
      <c r="AC21" s="334"/>
      <c r="AD21" s="335"/>
      <c r="AE21" s="349"/>
      <c r="AF21" s="349"/>
      <c r="AG21" s="349"/>
      <c r="AH21" s="108"/>
      <c r="AI21" s="113"/>
      <c r="AJ21" s="113"/>
    </row>
    <row r="22" spans="2:36" s="1" customFormat="1" x14ac:dyDescent="0.25">
      <c r="B22" s="1" t="s">
        <v>103</v>
      </c>
      <c r="C22" s="117"/>
      <c r="E22" s="118"/>
      <c r="F22" s="118"/>
      <c r="G22" s="118"/>
      <c r="H22" s="118"/>
      <c r="I22" s="336">
        <v>-501.54300000000001</v>
      </c>
      <c r="J22" s="335">
        <v>-325.48899999999998</v>
      </c>
      <c r="K22" s="335">
        <v>-583.21500000000003</v>
      </c>
      <c r="L22" s="335">
        <v>418.73700000000002</v>
      </c>
      <c r="M22" s="335">
        <f t="shared" ref="M22:M27" si="4">N22-L22-K22-J22</f>
        <v>-3100.18</v>
      </c>
      <c r="N22" s="336">
        <v>-3590.1469999999999</v>
      </c>
      <c r="O22" s="335">
        <v>-446.94499999999999</v>
      </c>
      <c r="P22" s="335">
        <v>-51.277999999999999</v>
      </c>
      <c r="Q22" s="335">
        <v>851.97299999999996</v>
      </c>
      <c r="R22" s="335">
        <f t="shared" ref="R22:R28" si="5">S22-Q22-P22-O22</f>
        <v>75.567000000000064</v>
      </c>
      <c r="S22" s="336">
        <v>429.31700000000001</v>
      </c>
      <c r="T22" s="335">
        <v>-5.1310000000000002</v>
      </c>
      <c r="U22" s="335">
        <v>368.82299999999998</v>
      </c>
      <c r="V22" s="335">
        <v>1203.481</v>
      </c>
      <c r="W22" s="335">
        <f t="shared" ref="W22:W28" si="6">X22-V22-U22-T22</f>
        <v>234.82700000000003</v>
      </c>
      <c r="X22" s="336">
        <v>1802</v>
      </c>
      <c r="Y22" s="335">
        <v>-5</v>
      </c>
      <c r="Z22" s="335">
        <v>523</v>
      </c>
      <c r="AA22" s="335">
        <v>1496</v>
      </c>
      <c r="AB22" s="335">
        <f t="shared" ref="AB22:AB28" si="7">AC22-AA22-Z22-Y22</f>
        <v>-496</v>
      </c>
      <c r="AC22" s="336">
        <v>1518</v>
      </c>
      <c r="AD22" s="351">
        <v>101</v>
      </c>
      <c r="AE22" s="350"/>
      <c r="AF22" s="350"/>
      <c r="AG22" s="350"/>
      <c r="AH22" s="119"/>
      <c r="AI22" s="120"/>
      <c r="AJ22" s="120"/>
    </row>
    <row r="23" spans="2:36" x14ac:dyDescent="0.25">
      <c r="B23" t="s">
        <v>234</v>
      </c>
      <c r="C23" s="106"/>
      <c r="E23" s="107"/>
      <c r="F23" s="107"/>
      <c r="G23" s="107"/>
      <c r="H23" s="107"/>
      <c r="I23" s="334">
        <v>85.902000000000001</v>
      </c>
      <c r="J23" s="335">
        <v>13.648999999999999</v>
      </c>
      <c r="K23" s="335">
        <v>5.8559999999999999</v>
      </c>
      <c r="L23" s="335">
        <v>4.3250000000000002</v>
      </c>
      <c r="M23" s="335">
        <f t="shared" si="4"/>
        <v>3.2870000000000008</v>
      </c>
      <c r="N23" s="334">
        <v>27.117000000000001</v>
      </c>
      <c r="O23" s="335">
        <v>3.052</v>
      </c>
      <c r="P23" s="335">
        <v>2.9420000000000002</v>
      </c>
      <c r="Q23" s="335">
        <v>2.9620000000000002</v>
      </c>
      <c r="R23" s="335">
        <f t="shared" si="5"/>
        <v>3.778</v>
      </c>
      <c r="S23" s="334">
        <v>12.734</v>
      </c>
      <c r="T23" s="335">
        <v>4.7439999999999998</v>
      </c>
      <c r="U23" s="335">
        <v>20.247</v>
      </c>
      <c r="V23" s="335">
        <v>58.457000000000001</v>
      </c>
      <c r="W23" s="335">
        <f t="shared" si="6"/>
        <v>102.55200000000001</v>
      </c>
      <c r="X23" s="334">
        <v>186</v>
      </c>
      <c r="Y23" s="335">
        <v>146</v>
      </c>
      <c r="Z23" s="335">
        <v>191</v>
      </c>
      <c r="AA23" s="335">
        <v>192</v>
      </c>
      <c r="AB23" s="335">
        <f t="shared" si="7"/>
        <v>192</v>
      </c>
      <c r="AC23" s="334">
        <v>721</v>
      </c>
      <c r="AD23" s="335">
        <v>202</v>
      </c>
      <c r="AE23" s="349"/>
      <c r="AF23" s="349"/>
      <c r="AG23" s="349"/>
      <c r="AH23" s="108"/>
      <c r="AI23" s="113"/>
      <c r="AJ23" s="113"/>
    </row>
    <row r="24" spans="2:36" x14ac:dyDescent="0.25">
      <c r="B24" t="s">
        <v>235</v>
      </c>
      <c r="C24" s="106"/>
      <c r="E24" s="107"/>
      <c r="F24" s="107"/>
      <c r="G24" s="107"/>
      <c r="H24" s="107"/>
      <c r="I24" s="334">
        <v>-9.968</v>
      </c>
      <c r="J24" s="335">
        <v>1.51</v>
      </c>
      <c r="K24" s="335">
        <v>-49.191000000000003</v>
      </c>
      <c r="L24" s="335">
        <v>-59.866999999999997</v>
      </c>
      <c r="M24" s="335">
        <f t="shared" si="4"/>
        <v>-64.14</v>
      </c>
      <c r="N24" s="334">
        <v>-171.68799999999999</v>
      </c>
      <c r="O24" s="335">
        <v>-421.911</v>
      </c>
      <c r="P24" s="335">
        <v>-6.52</v>
      </c>
      <c r="Q24" s="335">
        <v>-6.649</v>
      </c>
      <c r="R24" s="335">
        <f t="shared" si="5"/>
        <v>-2.5190000000000055</v>
      </c>
      <c r="S24" s="334">
        <v>-437.59899999999999</v>
      </c>
      <c r="T24" s="335">
        <v>-5.7640000000000002</v>
      </c>
      <c r="U24" s="335">
        <v>-7.4829999999999997</v>
      </c>
      <c r="V24" s="335">
        <v>-5.6820000000000004</v>
      </c>
      <c r="W24" s="335">
        <f t="shared" si="6"/>
        <v>-5.0709999999999971</v>
      </c>
      <c r="X24" s="334">
        <v>-24</v>
      </c>
      <c r="Y24" s="335"/>
      <c r="Z24" s="335">
        <v>-2</v>
      </c>
      <c r="AA24" s="335">
        <v>-6</v>
      </c>
      <c r="AB24" s="335">
        <f t="shared" si="7"/>
        <v>-75</v>
      </c>
      <c r="AC24" s="334">
        <v>-83</v>
      </c>
      <c r="AD24" s="352"/>
      <c r="AE24" s="349"/>
      <c r="AF24" s="349"/>
      <c r="AG24" s="349"/>
      <c r="AH24" s="108"/>
      <c r="AI24" s="113"/>
      <c r="AJ24" s="113"/>
    </row>
    <row r="25" spans="2:36" x14ac:dyDescent="0.25">
      <c r="B25" t="s">
        <v>236</v>
      </c>
      <c r="C25" s="106"/>
      <c r="E25" s="107"/>
      <c r="F25" s="107"/>
      <c r="G25" s="107"/>
      <c r="H25" s="107"/>
      <c r="I25" s="334">
        <v>13.906000000000001</v>
      </c>
      <c r="J25" s="335">
        <v>-46.76</v>
      </c>
      <c r="K25" s="335">
        <v>-12.848000000000001</v>
      </c>
      <c r="L25" s="335">
        <v>-56.143000000000001</v>
      </c>
      <c r="M25" s="335">
        <f t="shared" si="4"/>
        <v>-831.46900000000005</v>
      </c>
      <c r="N25" s="334">
        <v>-947.22</v>
      </c>
      <c r="O25" s="335">
        <v>-300.09800000000001</v>
      </c>
      <c r="P25" s="335">
        <v>-2.1280000000000001</v>
      </c>
      <c r="Q25" s="335">
        <v>2.1720000000000002</v>
      </c>
      <c r="R25" s="335">
        <f t="shared" si="5"/>
        <v>-4.6050000000000182</v>
      </c>
      <c r="S25" s="334">
        <v>-304.65899999999999</v>
      </c>
      <c r="T25" s="335">
        <v>-1.9350000000000001</v>
      </c>
      <c r="U25" s="335">
        <v>1.524</v>
      </c>
      <c r="V25" s="335">
        <v>13.643000000000001</v>
      </c>
      <c r="W25" s="335">
        <f t="shared" si="6"/>
        <v>11.767999999999999</v>
      </c>
      <c r="X25" s="334">
        <v>25</v>
      </c>
      <c r="Y25" s="335">
        <v>-11</v>
      </c>
      <c r="Z25" s="335">
        <v>-36</v>
      </c>
      <c r="AA25" s="335">
        <v>-3</v>
      </c>
      <c r="AB25" s="335">
        <f t="shared" si="7"/>
        <v>-4</v>
      </c>
      <c r="AC25" s="334">
        <v>-54</v>
      </c>
      <c r="AD25" s="335">
        <v>-10</v>
      </c>
      <c r="AE25" s="349"/>
      <c r="AF25" s="349"/>
      <c r="AG25" s="349"/>
      <c r="AH25" s="108"/>
      <c r="AI25" s="113"/>
      <c r="AJ25" s="113"/>
    </row>
    <row r="26" spans="2:36" x14ac:dyDescent="0.25">
      <c r="B26" s="333" t="s">
        <v>237</v>
      </c>
      <c r="C26" s="106"/>
      <c r="E26" s="107"/>
      <c r="F26" s="107"/>
      <c r="G26" s="107"/>
      <c r="H26" s="107"/>
      <c r="I26" s="334">
        <v>-411.70299999999997</v>
      </c>
      <c r="J26" s="335">
        <v>-357.09</v>
      </c>
      <c r="K26" s="335">
        <v>-639.39800000000002</v>
      </c>
      <c r="L26" s="335">
        <v>307.05200000000002</v>
      </c>
      <c r="M26" s="335">
        <f t="shared" si="4"/>
        <v>-3992.5019999999995</v>
      </c>
      <c r="N26" s="334">
        <v>-4681.9380000000001</v>
      </c>
      <c r="O26" s="335">
        <v>-1165.902</v>
      </c>
      <c r="P26" s="335">
        <v>-56.984000000000002</v>
      </c>
      <c r="Q26" s="335">
        <v>850.45799999999997</v>
      </c>
      <c r="R26" s="335">
        <f t="shared" si="5"/>
        <v>72.221000000000004</v>
      </c>
      <c r="S26" s="334">
        <v>-300.20699999999999</v>
      </c>
      <c r="T26" s="335">
        <v>-8.0860000000000003</v>
      </c>
      <c r="U26" s="335">
        <v>383.11099999999999</v>
      </c>
      <c r="V26" s="335">
        <v>1269.8989999999999</v>
      </c>
      <c r="W26" s="335">
        <f t="shared" si="6"/>
        <v>344.07600000000014</v>
      </c>
      <c r="X26" s="334">
        <v>1989</v>
      </c>
      <c r="Y26" s="335">
        <v>130</v>
      </c>
      <c r="Z26" s="335">
        <v>676</v>
      </c>
      <c r="AA26" s="335">
        <v>1679</v>
      </c>
      <c r="AB26" s="335">
        <f t="shared" si="7"/>
        <v>-383</v>
      </c>
      <c r="AC26" s="334">
        <v>2102</v>
      </c>
      <c r="AD26" s="335">
        <v>293</v>
      </c>
      <c r="AE26" s="349"/>
      <c r="AF26" s="349"/>
      <c r="AG26" s="349"/>
      <c r="AH26" s="108"/>
      <c r="AI26" s="113"/>
      <c r="AJ26" s="113"/>
    </row>
    <row r="27" spans="2:36" x14ac:dyDescent="0.25">
      <c r="B27" s="333" t="s">
        <v>238</v>
      </c>
      <c r="C27" s="106"/>
      <c r="E27" s="107"/>
      <c r="F27" s="107"/>
      <c r="G27" s="107"/>
      <c r="H27" s="107"/>
      <c r="I27" s="334">
        <v>262.63600000000002</v>
      </c>
      <c r="J27" s="335">
        <v>-16.484999999999999</v>
      </c>
      <c r="K27" s="335">
        <v>-63.81</v>
      </c>
      <c r="L27" s="335">
        <v>87.724000000000004</v>
      </c>
      <c r="M27" s="335">
        <f t="shared" si="4"/>
        <v>89.792999999999992</v>
      </c>
      <c r="N27" s="334">
        <v>97.221999999999994</v>
      </c>
      <c r="O27" s="335">
        <v>6.3090000000000002</v>
      </c>
      <c r="P27" s="335">
        <v>11.233000000000001</v>
      </c>
      <c r="Q27" s="335">
        <v>16.565000000000001</v>
      </c>
      <c r="R27" s="335">
        <f t="shared" si="5"/>
        <v>17.72</v>
      </c>
      <c r="S27" s="334">
        <v>51.826999999999998</v>
      </c>
      <c r="T27" s="335">
        <v>10.706</v>
      </c>
      <c r="U27" s="335">
        <v>4.2699999999999996</v>
      </c>
      <c r="V27" s="335">
        <v>55.610999999999997</v>
      </c>
      <c r="W27" s="335">
        <f t="shared" si="6"/>
        <v>25.413</v>
      </c>
      <c r="X27" s="334">
        <v>96</v>
      </c>
      <c r="Y27" s="335">
        <v>13</v>
      </c>
      <c r="Z27" s="335">
        <v>26</v>
      </c>
      <c r="AA27" s="335">
        <v>-2695</v>
      </c>
      <c r="AB27" s="335">
        <f t="shared" si="7"/>
        <v>-34</v>
      </c>
      <c r="AC27" s="334">
        <v>-2690</v>
      </c>
      <c r="AD27" s="335">
        <v>29</v>
      </c>
      <c r="AE27" s="349"/>
      <c r="AF27" s="349"/>
      <c r="AG27" s="349"/>
      <c r="AH27" s="108"/>
      <c r="AI27" s="113"/>
      <c r="AJ27" s="113"/>
    </row>
    <row r="28" spans="2:36" s="1" customFormat="1" x14ac:dyDescent="0.25">
      <c r="B28" s="1" t="s">
        <v>104</v>
      </c>
      <c r="C28" s="117"/>
      <c r="E28" s="118"/>
      <c r="F28" s="118"/>
      <c r="G28" s="118"/>
      <c r="H28" s="118"/>
      <c r="I28" s="336">
        <v>-674.33900000000006</v>
      </c>
      <c r="J28" s="335">
        <v>-340.60500000000002</v>
      </c>
      <c r="K28" s="335">
        <v>-575.58799999999997</v>
      </c>
      <c r="L28" s="335">
        <v>219.328</v>
      </c>
      <c r="M28" s="335">
        <f>N28-L28-K28-J28</f>
        <v>-3887.851000000001</v>
      </c>
      <c r="N28" s="336">
        <v>-4584.7160000000003</v>
      </c>
      <c r="O28" s="335">
        <v>-1172.211</v>
      </c>
      <c r="P28" s="335">
        <v>-68.216999999999999</v>
      </c>
      <c r="Q28" s="335">
        <v>833.89300000000003</v>
      </c>
      <c r="R28" s="335">
        <f t="shared" si="5"/>
        <v>54.500999999999976</v>
      </c>
      <c r="S28" s="336">
        <v>-352.03399999999999</v>
      </c>
      <c r="T28" s="335">
        <v>-18.792000000000002</v>
      </c>
      <c r="U28" s="335">
        <v>378.84100000000001</v>
      </c>
      <c r="V28" s="335">
        <v>1214.288</v>
      </c>
      <c r="W28" s="335">
        <f t="shared" si="6"/>
        <v>318.66300000000001</v>
      </c>
      <c r="X28" s="336">
        <v>1893</v>
      </c>
      <c r="Y28" s="335">
        <v>117</v>
      </c>
      <c r="Z28" s="335">
        <v>650</v>
      </c>
      <c r="AA28" s="335">
        <v>4374</v>
      </c>
      <c r="AB28" s="335">
        <f t="shared" si="7"/>
        <v>-349</v>
      </c>
      <c r="AC28" s="336">
        <v>4792</v>
      </c>
      <c r="AD28" s="351">
        <v>264</v>
      </c>
      <c r="AE28" s="350"/>
      <c r="AF28" s="350"/>
      <c r="AG28" s="350"/>
      <c r="AH28" s="119"/>
      <c r="AI28" s="120"/>
      <c r="AJ28" s="120"/>
    </row>
    <row r="29" spans="2:36" x14ac:dyDescent="0.25">
      <c r="B29" s="1"/>
      <c r="C29" s="106"/>
      <c r="E29" s="107"/>
      <c r="F29" s="107"/>
      <c r="G29" s="107"/>
      <c r="H29" s="107"/>
      <c r="I29" s="334"/>
      <c r="J29" s="337"/>
      <c r="K29" s="337"/>
      <c r="L29" s="337"/>
      <c r="M29" s="338"/>
      <c r="N29" s="334"/>
      <c r="O29" s="337"/>
      <c r="P29" s="337"/>
      <c r="Q29" s="337"/>
      <c r="R29" s="338"/>
      <c r="S29" s="334"/>
      <c r="T29" s="338"/>
      <c r="U29" s="338"/>
      <c r="V29" s="338"/>
      <c r="W29" s="338"/>
      <c r="X29" s="334"/>
      <c r="Y29" s="335"/>
      <c r="Z29" s="335"/>
      <c r="AA29" s="335"/>
      <c r="AB29" s="338"/>
      <c r="AC29" s="334"/>
      <c r="AD29" s="335"/>
      <c r="AE29" s="349"/>
      <c r="AF29" s="349"/>
      <c r="AG29" s="349"/>
      <c r="AH29" s="108"/>
      <c r="AI29" s="113"/>
      <c r="AJ29" s="113"/>
    </row>
    <row r="30" spans="2:36" x14ac:dyDescent="0.25">
      <c r="B30" s="1" t="s">
        <v>105</v>
      </c>
      <c r="C30" s="106"/>
      <c r="E30" s="107"/>
      <c r="F30" s="107"/>
      <c r="G30" s="107"/>
      <c r="H30" s="107"/>
      <c r="I30" s="334"/>
      <c r="J30" s="337"/>
      <c r="K30" s="337"/>
      <c r="L30" s="337"/>
      <c r="M30" s="338"/>
      <c r="N30" s="334"/>
      <c r="O30" s="337"/>
      <c r="P30" s="337"/>
      <c r="Q30" s="337"/>
      <c r="R30" s="338"/>
      <c r="S30" s="334"/>
      <c r="T30" s="338"/>
      <c r="U30" s="338"/>
      <c r="V30" s="338"/>
      <c r="W30" s="338"/>
      <c r="X30" s="334"/>
      <c r="Y30" s="335"/>
      <c r="Z30" s="335"/>
      <c r="AA30" s="335"/>
      <c r="AB30" s="338"/>
      <c r="AC30" s="334"/>
      <c r="AD30" s="335"/>
      <c r="AE30" s="349"/>
      <c r="AF30" s="349"/>
      <c r="AG30" s="349"/>
      <c r="AH30" s="108"/>
      <c r="AI30" s="113"/>
      <c r="AJ30" s="113"/>
    </row>
    <row r="31" spans="2:36" x14ac:dyDescent="0.25">
      <c r="B31" t="s">
        <v>106</v>
      </c>
      <c r="C31" s="106"/>
      <c r="E31" s="107"/>
      <c r="F31" s="107"/>
      <c r="G31" s="107"/>
      <c r="H31" s="107"/>
      <c r="I31" s="353">
        <v>-2.59</v>
      </c>
      <c r="J31" s="354">
        <v>-1.3</v>
      </c>
      <c r="K31" s="354">
        <v>-2.1800000000000002</v>
      </c>
      <c r="L31" s="354">
        <f ca="1">N31-M31-K31-J31</f>
        <v>0</v>
      </c>
      <c r="M31" s="335">
        <f ca="1">N31-L31-K31-J31</f>
        <v>-12.64</v>
      </c>
      <c r="N31" s="353">
        <v>-16.12</v>
      </c>
      <c r="O31" s="354">
        <v>-1.95</v>
      </c>
      <c r="P31" s="354">
        <v>-0.11</v>
      </c>
      <c r="Q31" s="354">
        <v>1.34</v>
      </c>
      <c r="R31" s="335">
        <f>S31-Q31-P31-O31</f>
        <v>0.14999999999999991</v>
      </c>
      <c r="S31" s="353">
        <v>-0.56999999999999995</v>
      </c>
      <c r="T31" s="354">
        <v>-0.03</v>
      </c>
      <c r="U31" s="354">
        <v>0.59</v>
      </c>
      <c r="V31" s="354">
        <v>1.9</v>
      </c>
      <c r="W31" s="335">
        <f>X31-V31-U31-T31</f>
        <v>0.54000000000000015</v>
      </c>
      <c r="X31" s="353">
        <v>3</v>
      </c>
      <c r="Y31" s="354">
        <v>0.18</v>
      </c>
      <c r="Z31" s="354">
        <v>1.02</v>
      </c>
      <c r="AA31" s="354">
        <v>6.83</v>
      </c>
      <c r="AB31" s="335">
        <f>AC31-AA31-Z31-Y31</f>
        <v>-0.53</v>
      </c>
      <c r="AC31" s="353">
        <v>7.5</v>
      </c>
      <c r="AD31" s="354">
        <v>0.41</v>
      </c>
      <c r="AE31" s="355"/>
      <c r="AF31" s="355"/>
      <c r="AG31" s="355"/>
      <c r="AH31" s="353"/>
      <c r="AI31" s="356"/>
      <c r="AJ31" s="356"/>
    </row>
    <row r="32" spans="2:36" s="1" customFormat="1" x14ac:dyDescent="0.25">
      <c r="B32" t="s">
        <v>107</v>
      </c>
      <c r="C32" s="117"/>
      <c r="E32" s="118"/>
      <c r="F32" s="118"/>
      <c r="G32" s="118"/>
      <c r="H32" s="118"/>
      <c r="I32" s="357">
        <v>-2.59</v>
      </c>
      <c r="J32" s="354">
        <v>-1.3</v>
      </c>
      <c r="K32" s="354">
        <v>-2.1800000000000002</v>
      </c>
      <c r="L32" s="354">
        <f ca="1">N32-M32-K32-J32</f>
        <v>0</v>
      </c>
      <c r="M32" s="335">
        <f ca="1">N32-L32-K32-J32</f>
        <v>-12.64</v>
      </c>
      <c r="N32" s="357">
        <v>-16.12</v>
      </c>
      <c r="O32" s="354">
        <v>-1.95</v>
      </c>
      <c r="P32" s="354">
        <v>-0.11</v>
      </c>
      <c r="Q32" s="354">
        <v>1.22</v>
      </c>
      <c r="R32" s="335">
        <f>S32-Q32-P32-O32</f>
        <v>0.27</v>
      </c>
      <c r="S32" s="357">
        <v>-0.56999999999999995</v>
      </c>
      <c r="T32" s="354">
        <v>-0.03</v>
      </c>
      <c r="U32" s="354">
        <v>0.56000000000000005</v>
      </c>
      <c r="V32" s="354">
        <v>1.79</v>
      </c>
      <c r="W32" s="335">
        <f>X32-V32-U32-T32</f>
        <v>0.47999999999999976</v>
      </c>
      <c r="X32" s="357">
        <v>2.8</v>
      </c>
      <c r="Y32" s="354">
        <v>0.18</v>
      </c>
      <c r="Z32" s="354">
        <v>0.98</v>
      </c>
      <c r="AA32" s="354">
        <v>6.83</v>
      </c>
      <c r="AB32" s="335">
        <f>AC32-AA32-Z32-Y32</f>
        <v>-0.78999999999999981</v>
      </c>
      <c r="AC32" s="357">
        <v>7.2</v>
      </c>
      <c r="AD32" s="358">
        <v>0.41</v>
      </c>
      <c r="AE32" s="359"/>
      <c r="AF32" s="359"/>
      <c r="AG32" s="359"/>
      <c r="AH32" s="357"/>
      <c r="AI32" s="360"/>
      <c r="AJ32" s="360"/>
    </row>
    <row r="33" spans="1:36" x14ac:dyDescent="0.25">
      <c r="C33" s="106"/>
      <c r="E33" s="107"/>
      <c r="F33" s="107"/>
      <c r="G33" s="107"/>
      <c r="H33" s="107"/>
      <c r="I33" s="334"/>
      <c r="J33" s="335"/>
      <c r="K33" s="335"/>
      <c r="L33" s="335"/>
      <c r="M33" s="335"/>
      <c r="N33" s="334"/>
      <c r="O33" s="335"/>
      <c r="P33" s="335"/>
      <c r="Q33" s="335"/>
      <c r="R33" s="335"/>
      <c r="S33" s="334"/>
      <c r="T33" s="335"/>
      <c r="U33" s="335"/>
      <c r="V33" s="335"/>
      <c r="W33" s="335"/>
      <c r="X33" s="334"/>
      <c r="Y33" s="335"/>
      <c r="Z33" s="335"/>
      <c r="AA33" s="335"/>
      <c r="AB33" s="335"/>
      <c r="AC33" s="334"/>
      <c r="AD33" s="109"/>
      <c r="AE33" s="349"/>
      <c r="AF33" s="349"/>
      <c r="AG33" s="349"/>
      <c r="AH33" s="108"/>
      <c r="AI33" s="113"/>
      <c r="AJ33" s="113"/>
    </row>
    <row r="34" spans="1:36" x14ac:dyDescent="0.25">
      <c r="B34" s="1" t="s">
        <v>108</v>
      </c>
      <c r="C34" s="106"/>
      <c r="E34" s="107"/>
      <c r="F34" s="107"/>
      <c r="G34" s="107"/>
      <c r="H34" s="107"/>
      <c r="I34" s="334"/>
      <c r="J34" s="335"/>
      <c r="K34" s="335"/>
      <c r="L34" s="335"/>
      <c r="M34" s="335"/>
      <c r="N34" s="334"/>
      <c r="O34" s="335"/>
      <c r="P34" s="335"/>
      <c r="Q34" s="335"/>
      <c r="R34" s="335"/>
      <c r="S34" s="334"/>
      <c r="T34" s="335"/>
      <c r="U34" s="335"/>
      <c r="V34" s="335"/>
      <c r="W34" s="335"/>
      <c r="X34" s="334"/>
      <c r="Y34" s="335"/>
      <c r="Z34" s="335"/>
      <c r="AA34" s="335"/>
      <c r="AB34" s="335"/>
      <c r="AC34" s="334"/>
      <c r="AD34" s="109"/>
      <c r="AE34" s="349"/>
      <c r="AF34" s="349"/>
      <c r="AG34" s="349"/>
      <c r="AH34" s="108"/>
      <c r="AI34" s="113"/>
      <c r="AJ34" s="113"/>
    </row>
    <row r="35" spans="1:36" x14ac:dyDescent="0.25">
      <c r="B35" t="s">
        <v>106</v>
      </c>
      <c r="C35" s="106"/>
      <c r="E35" s="107"/>
      <c r="F35" s="107"/>
      <c r="G35" s="107"/>
      <c r="H35" s="107"/>
      <c r="I35" s="334">
        <v>260.55599999999998</v>
      </c>
      <c r="J35" s="335">
        <v>262.50900000000001</v>
      </c>
      <c r="K35" s="335">
        <v>263.517</v>
      </c>
      <c r="L35" s="335">
        <v>265.137</v>
      </c>
      <c r="M35" s="335"/>
      <c r="N35" s="334">
        <v>284.363</v>
      </c>
      <c r="O35" s="335">
        <v>600.96</v>
      </c>
      <c r="P35" s="335">
        <v>611.73900000000003</v>
      </c>
      <c r="Q35" s="335">
        <v>621.01199999999994</v>
      </c>
      <c r="R35" s="335"/>
      <c r="S35" s="334">
        <v>615.89099999999996</v>
      </c>
      <c r="T35" s="335">
        <v>635.31399999999996</v>
      </c>
      <c r="U35" s="335">
        <v>638.40700000000004</v>
      </c>
      <c r="V35" s="335">
        <v>639</v>
      </c>
      <c r="W35" s="335"/>
      <c r="X35" s="334">
        <v>637</v>
      </c>
      <c r="Y35" s="335">
        <v>634</v>
      </c>
      <c r="Z35" s="335">
        <v>635</v>
      </c>
      <c r="AA35" s="335">
        <v>640</v>
      </c>
      <c r="AB35" s="335"/>
      <c r="AC35" s="334">
        <v>637</v>
      </c>
      <c r="AD35" s="109">
        <v>638</v>
      </c>
      <c r="AE35" s="349"/>
      <c r="AF35" s="349"/>
      <c r="AG35" s="349"/>
      <c r="AH35" s="108"/>
      <c r="AI35" s="113"/>
      <c r="AJ35" s="113"/>
    </row>
    <row r="36" spans="1:36" x14ac:dyDescent="0.25">
      <c r="B36" t="s">
        <v>107</v>
      </c>
      <c r="C36" s="106"/>
      <c r="E36" s="107"/>
      <c r="F36" s="107"/>
      <c r="G36" s="107"/>
      <c r="H36" s="107"/>
      <c r="I36" s="334">
        <v>260.55599999999998</v>
      </c>
      <c r="J36" s="335">
        <v>262.50900000000001</v>
      </c>
      <c r="K36" s="335">
        <v>263.517</v>
      </c>
      <c r="L36" s="335">
        <v>299.20600000000002</v>
      </c>
      <c r="M36" s="335"/>
      <c r="N36" s="334">
        <v>284.363</v>
      </c>
      <c r="O36" s="335">
        <v>600.96</v>
      </c>
      <c r="P36" s="335">
        <v>611.73900000000003</v>
      </c>
      <c r="Q36" s="335">
        <v>681.91600000000005</v>
      </c>
      <c r="R36" s="335"/>
      <c r="S36" s="334">
        <v>615.89099999999996</v>
      </c>
      <c r="T36" s="335">
        <v>635.31399999999996</v>
      </c>
      <c r="U36" s="335">
        <v>683.53599999999994</v>
      </c>
      <c r="V36" s="335">
        <v>680</v>
      </c>
      <c r="W36" s="335"/>
      <c r="X36" s="334">
        <v>680</v>
      </c>
      <c r="Y36" s="335">
        <v>670</v>
      </c>
      <c r="Z36" s="335">
        <v>665</v>
      </c>
      <c r="AA36" s="335">
        <v>660</v>
      </c>
      <c r="AB36" s="335"/>
      <c r="AC36" s="334">
        <v>662</v>
      </c>
      <c r="AD36" s="109">
        <v>654</v>
      </c>
      <c r="AE36" s="349"/>
      <c r="AF36" s="349"/>
      <c r="AG36" s="349"/>
      <c r="AH36" s="108"/>
      <c r="AI36" s="113"/>
      <c r="AJ36" s="113"/>
    </row>
    <row r="37" spans="1:36" x14ac:dyDescent="0.25">
      <c r="C37" s="106"/>
      <c r="E37" s="107"/>
      <c r="F37" s="107"/>
      <c r="G37" s="107"/>
      <c r="H37" s="107"/>
      <c r="I37" s="334"/>
      <c r="J37" s="335"/>
      <c r="K37" s="335"/>
      <c r="L37" s="335"/>
      <c r="M37" s="335"/>
      <c r="N37" s="334"/>
      <c r="O37" s="335"/>
      <c r="P37" s="335"/>
      <c r="Q37" s="335"/>
      <c r="R37" s="335"/>
      <c r="S37" s="334"/>
      <c r="T37" s="335"/>
      <c r="U37" s="335"/>
      <c r="V37" s="335"/>
      <c r="W37" s="335"/>
      <c r="X37" s="334"/>
      <c r="Y37" s="335"/>
      <c r="Z37" s="335"/>
      <c r="AA37" s="335"/>
      <c r="AB37" s="335"/>
      <c r="AC37" s="334"/>
      <c r="AD37" s="109"/>
      <c r="AE37" s="349"/>
      <c r="AF37" s="349"/>
      <c r="AG37" s="349"/>
      <c r="AH37" s="108"/>
      <c r="AI37" s="113"/>
      <c r="AJ37" s="113"/>
    </row>
    <row r="38" spans="1:36" x14ac:dyDescent="0.25">
      <c r="C38" s="106"/>
      <c r="E38" s="107"/>
      <c r="F38" s="107"/>
      <c r="G38" s="107"/>
      <c r="H38" s="107"/>
      <c r="I38" s="334"/>
      <c r="J38" s="335"/>
      <c r="K38" s="335"/>
      <c r="L38" s="335"/>
      <c r="M38" s="335"/>
      <c r="N38" s="334"/>
      <c r="O38" s="335"/>
      <c r="P38" s="335"/>
      <c r="Q38" s="335"/>
      <c r="R38" s="335"/>
      <c r="S38" s="334"/>
      <c r="T38" s="335"/>
      <c r="U38" s="335"/>
      <c r="V38" s="335"/>
      <c r="W38" s="335"/>
      <c r="X38" s="334"/>
      <c r="Y38" s="335"/>
      <c r="Z38" s="335"/>
      <c r="AA38" s="335"/>
      <c r="AB38" s="335"/>
      <c r="AC38" s="334"/>
      <c r="AD38" s="109"/>
      <c r="AE38" s="349"/>
      <c r="AF38" s="349"/>
      <c r="AG38" s="349"/>
      <c r="AH38" s="108"/>
      <c r="AI38" s="113"/>
      <c r="AJ38" s="113"/>
    </row>
    <row r="39" spans="1:36" x14ac:dyDescent="0.25">
      <c r="C39" s="106"/>
      <c r="E39" s="107"/>
      <c r="F39" s="107"/>
      <c r="G39" s="107"/>
      <c r="H39" s="107"/>
      <c r="I39" s="334"/>
      <c r="J39" s="335"/>
      <c r="K39" s="335"/>
      <c r="L39" s="335"/>
      <c r="M39" s="335"/>
      <c r="N39" s="339"/>
      <c r="O39" s="335"/>
      <c r="P39" s="335"/>
      <c r="Q39" s="335"/>
      <c r="R39" s="335"/>
      <c r="S39" s="339"/>
      <c r="T39" s="335"/>
      <c r="U39" s="335"/>
      <c r="V39" s="335"/>
      <c r="W39" s="335"/>
      <c r="X39" s="340"/>
      <c r="Y39" s="335"/>
      <c r="Z39" s="335"/>
      <c r="AA39" s="335"/>
      <c r="AB39" s="335"/>
      <c r="AC39" s="340"/>
      <c r="AD39" s="109"/>
      <c r="AE39" s="349"/>
      <c r="AF39" s="349"/>
      <c r="AG39" s="349"/>
      <c r="AH39" s="113"/>
      <c r="AI39" s="113"/>
      <c r="AJ39" s="113"/>
    </row>
    <row r="40" spans="1:36" x14ac:dyDescent="0.25">
      <c r="C40" s="106"/>
      <c r="E40" s="107"/>
      <c r="F40" s="107"/>
      <c r="G40" s="107"/>
      <c r="H40" s="107"/>
      <c r="I40" s="334"/>
      <c r="J40" s="335"/>
      <c r="K40" s="335"/>
      <c r="L40" s="335"/>
      <c r="M40" s="335"/>
      <c r="N40" s="339"/>
      <c r="O40" s="335"/>
      <c r="P40" s="335"/>
      <c r="Q40" s="335"/>
      <c r="R40" s="335"/>
      <c r="S40" s="339"/>
      <c r="T40" s="335"/>
      <c r="U40" s="335"/>
      <c r="V40" s="335"/>
      <c r="W40" s="335"/>
      <c r="X40" s="340"/>
      <c r="Y40" s="335"/>
      <c r="Z40" s="341"/>
      <c r="AA40" s="341"/>
      <c r="AB40" s="341"/>
      <c r="AC40" s="340"/>
      <c r="AD40" s="109"/>
      <c r="AE40" s="349"/>
      <c r="AF40" s="349"/>
      <c r="AG40" s="349"/>
      <c r="AH40" s="113"/>
      <c r="AI40" s="113"/>
      <c r="AJ40" s="113"/>
    </row>
    <row r="41" spans="1:36" x14ac:dyDescent="0.25">
      <c r="B41" s="106"/>
      <c r="C41" s="106"/>
      <c r="E41" s="107"/>
      <c r="F41" s="107"/>
      <c r="G41" s="107"/>
      <c r="H41" s="107"/>
      <c r="I41" s="334"/>
      <c r="J41" s="335"/>
      <c r="K41" s="335"/>
      <c r="L41" s="335"/>
      <c r="M41" s="335"/>
      <c r="N41" s="339"/>
      <c r="O41" s="335"/>
      <c r="P41" s="335"/>
      <c r="Q41" s="335"/>
      <c r="R41" s="335"/>
      <c r="S41" s="339"/>
      <c r="T41" s="335"/>
      <c r="U41" s="341"/>
      <c r="V41" s="341"/>
      <c r="W41" s="341"/>
      <c r="X41" s="340"/>
      <c r="Y41" s="335"/>
      <c r="Z41" s="341"/>
      <c r="AA41" s="341"/>
      <c r="AB41" s="341"/>
      <c r="AC41" s="340"/>
      <c r="AD41" s="109"/>
      <c r="AE41" s="349"/>
      <c r="AF41" s="349"/>
      <c r="AG41" s="349"/>
      <c r="AH41" s="113"/>
      <c r="AI41" s="113"/>
      <c r="AJ41" s="113"/>
    </row>
    <row r="42" spans="1:36" x14ac:dyDescent="0.25">
      <c r="A42" s="114"/>
      <c r="B42" s="114" t="s">
        <v>109</v>
      </c>
      <c r="C42" s="114"/>
      <c r="D42" s="115"/>
      <c r="E42" s="115"/>
      <c r="F42" s="115"/>
      <c r="G42" s="115"/>
      <c r="H42" s="115"/>
      <c r="I42" s="342"/>
      <c r="J42" s="342"/>
      <c r="K42" s="342"/>
      <c r="L42" s="342"/>
      <c r="M42" s="342"/>
      <c r="N42" s="342"/>
      <c r="O42" s="342"/>
      <c r="P42" s="342"/>
      <c r="Q42" s="342"/>
      <c r="R42" s="342"/>
      <c r="S42" s="342"/>
      <c r="T42" s="342"/>
      <c r="U42" s="342"/>
      <c r="V42" s="343"/>
      <c r="W42" s="343"/>
      <c r="X42" s="342"/>
      <c r="Y42" s="342"/>
      <c r="Z42" s="342"/>
      <c r="AA42" s="343"/>
      <c r="AB42" s="343"/>
      <c r="AC42" s="342"/>
      <c r="AF42" s="180"/>
      <c r="AG42" s="180"/>
      <c r="AH42" s="115"/>
      <c r="AI42" s="115"/>
      <c r="AJ42" s="115"/>
    </row>
    <row r="43" spans="1:36" x14ac:dyDescent="0.25">
      <c r="B43" s="1" t="s">
        <v>110</v>
      </c>
      <c r="C43" s="106"/>
      <c r="E43" s="107"/>
      <c r="F43" s="107"/>
      <c r="G43" s="107"/>
      <c r="H43" s="107"/>
      <c r="I43" s="334"/>
      <c r="J43" s="335"/>
      <c r="K43" s="335"/>
      <c r="L43" s="335"/>
      <c r="M43" s="335"/>
      <c r="N43" s="339"/>
      <c r="O43" s="335"/>
      <c r="P43" s="335"/>
      <c r="Q43" s="335"/>
      <c r="R43" s="335"/>
      <c r="S43" s="339"/>
      <c r="T43" s="335"/>
      <c r="U43" s="341"/>
      <c r="V43" s="341"/>
      <c r="W43" s="341"/>
      <c r="X43" s="340"/>
      <c r="Y43" s="335"/>
      <c r="Z43" s="341"/>
      <c r="AA43" s="341"/>
      <c r="AB43" s="341"/>
      <c r="AC43" s="340"/>
      <c r="AD43" s="109"/>
      <c r="AE43" s="349"/>
      <c r="AF43" s="349"/>
      <c r="AG43" s="349"/>
      <c r="AH43" s="113"/>
      <c r="AI43" s="113"/>
      <c r="AJ43" s="113"/>
    </row>
    <row r="44" spans="1:36" x14ac:dyDescent="0.25">
      <c r="B44" s="1" t="s">
        <v>104</v>
      </c>
      <c r="C44" s="106"/>
      <c r="E44" s="107"/>
      <c r="F44" s="107"/>
      <c r="G44" s="107"/>
      <c r="H44" s="107"/>
      <c r="I44" s="334">
        <v>-674.33900000000006</v>
      </c>
      <c r="J44" s="334"/>
      <c r="K44" s="334"/>
      <c r="L44" s="334"/>
      <c r="M44" s="334"/>
      <c r="N44" s="334">
        <v>-4584.7160000000003</v>
      </c>
      <c r="O44" s="334"/>
      <c r="P44" s="334"/>
      <c r="Q44" s="334"/>
      <c r="R44" s="334"/>
      <c r="S44" s="334">
        <v>-352.03399999999999</v>
      </c>
      <c r="T44" s="334"/>
      <c r="U44" s="334"/>
      <c r="V44" s="334"/>
      <c r="W44" s="334"/>
      <c r="X44" s="334">
        <v>1893</v>
      </c>
      <c r="Y44" s="334"/>
      <c r="Z44" s="334"/>
      <c r="AA44" s="334"/>
      <c r="AB44" s="334"/>
      <c r="AC44" s="334">
        <v>4792</v>
      </c>
      <c r="AD44" s="107"/>
      <c r="AE44" s="107"/>
      <c r="AF44" s="107"/>
      <c r="AG44" s="107"/>
      <c r="AH44" s="108"/>
      <c r="AI44" s="108"/>
      <c r="AJ44" s="108"/>
    </row>
    <row r="45" spans="1:36" x14ac:dyDescent="0.25">
      <c r="B45" s="1" t="s">
        <v>111</v>
      </c>
      <c r="C45" s="106"/>
      <c r="E45" s="107"/>
      <c r="F45" s="107"/>
      <c r="G45" s="107"/>
      <c r="H45" s="107"/>
      <c r="I45" s="334"/>
      <c r="J45" s="334"/>
      <c r="K45" s="334"/>
      <c r="L45" s="334"/>
      <c r="M45" s="334"/>
      <c r="N45" s="334"/>
      <c r="O45" s="334"/>
      <c r="P45" s="334"/>
      <c r="Q45" s="334"/>
      <c r="R45" s="334"/>
      <c r="S45" s="334"/>
      <c r="T45" s="334"/>
      <c r="U45" s="334"/>
      <c r="V45" s="334"/>
      <c r="W45" s="334"/>
      <c r="X45" s="334"/>
      <c r="Y45" s="334"/>
      <c r="Z45" s="334"/>
      <c r="AA45" s="334"/>
      <c r="AB45" s="334"/>
      <c r="AC45" s="334"/>
      <c r="AD45" s="107"/>
      <c r="AE45" s="107"/>
      <c r="AF45" s="107"/>
      <c r="AG45" s="107"/>
      <c r="AH45" s="108"/>
      <c r="AI45" s="108"/>
      <c r="AJ45" s="108"/>
    </row>
    <row r="46" spans="1:36" x14ac:dyDescent="0.25">
      <c r="B46" t="s">
        <v>102</v>
      </c>
      <c r="C46" s="106"/>
      <c r="E46" s="107"/>
      <c r="F46" s="107"/>
      <c r="G46" s="107"/>
      <c r="H46" s="107"/>
      <c r="I46" s="334">
        <v>114.16200000000001</v>
      </c>
      <c r="J46" s="334">
        <v>33.872</v>
      </c>
      <c r="K46" s="334">
        <v>63.8</v>
      </c>
      <c r="L46" s="334">
        <v>93.438000000000002</v>
      </c>
      <c r="M46" s="334">
        <f>N46-L46-K46-J46</f>
        <v>-65.233999999999995</v>
      </c>
      <c r="N46" s="334">
        <v>125.876</v>
      </c>
      <c r="O46" s="334">
        <v>38.252000000000002</v>
      </c>
      <c r="P46" s="334">
        <v>73.787999999999997</v>
      </c>
      <c r="Q46" s="334">
        <v>107.47499999999999</v>
      </c>
      <c r="R46" s="334">
        <f>S46-Q46-P46-O46</f>
        <v>-81.195999999999998</v>
      </c>
      <c r="S46" s="334">
        <v>138.31899999999999</v>
      </c>
      <c r="T46" s="334">
        <v>29.231999999999999</v>
      </c>
      <c r="U46" s="334">
        <v>55.237000000000002</v>
      </c>
      <c r="V46" s="334">
        <v>68.052000000000007</v>
      </c>
      <c r="W46" s="334">
        <f>X46-V46-U46-T46</f>
        <v>-71.521000000000015</v>
      </c>
      <c r="X46" s="334">
        <v>81</v>
      </c>
      <c r="Y46" s="334">
        <v>11</v>
      </c>
      <c r="Z46" s="334">
        <v>20</v>
      </c>
      <c r="AA46" s="334">
        <v>28</v>
      </c>
      <c r="AB46" s="334">
        <f>AC46-AA46-Z46-Y46</f>
        <v>-15</v>
      </c>
      <c r="AC46" s="334">
        <v>44</v>
      </c>
      <c r="AD46" s="107">
        <v>14</v>
      </c>
      <c r="AE46" s="107"/>
      <c r="AF46" s="107"/>
      <c r="AG46" s="107"/>
      <c r="AH46" s="108"/>
      <c r="AI46" s="108"/>
      <c r="AJ46" s="108"/>
    </row>
    <row r="47" spans="1:36" x14ac:dyDescent="0.25">
      <c r="B47" t="s">
        <v>263</v>
      </c>
      <c r="C47" s="106"/>
      <c r="E47" s="107"/>
      <c r="F47" s="107"/>
      <c r="G47" s="107"/>
      <c r="H47" s="107"/>
      <c r="I47" s="334">
        <v>77.052999999999997</v>
      </c>
      <c r="J47" s="334"/>
      <c r="K47" s="334"/>
      <c r="L47" s="334"/>
      <c r="M47" s="334"/>
      <c r="N47" s="334">
        <v>107.685</v>
      </c>
      <c r="O47" s="334"/>
      <c r="P47" s="334"/>
      <c r="Q47" s="334"/>
      <c r="R47" s="334"/>
      <c r="S47" s="334">
        <v>27.285</v>
      </c>
      <c r="T47" s="334"/>
      <c r="U47" s="334"/>
      <c r="V47" s="334"/>
      <c r="W47" s="334"/>
      <c r="X47" s="334">
        <v>49</v>
      </c>
      <c r="Y47" s="334"/>
      <c r="Z47" s="334"/>
      <c r="AA47" s="334"/>
      <c r="AB47" s="334"/>
      <c r="AC47" s="334"/>
      <c r="AD47" s="107"/>
      <c r="AE47" s="107"/>
      <c r="AF47" s="107"/>
      <c r="AG47" s="107"/>
      <c r="AH47" s="108"/>
      <c r="AI47" s="108"/>
      <c r="AJ47" s="108"/>
    </row>
    <row r="48" spans="1:36" x14ac:dyDescent="0.25">
      <c r="B48" t="s">
        <v>112</v>
      </c>
      <c r="C48" s="106"/>
      <c r="E48" s="107"/>
      <c r="F48" s="107"/>
      <c r="G48" s="107"/>
      <c r="H48" s="107"/>
      <c r="I48" s="334">
        <v>97.546999999999997</v>
      </c>
      <c r="J48" s="334"/>
      <c r="K48" s="334"/>
      <c r="L48" s="334"/>
      <c r="M48" s="334"/>
      <c r="N48" s="334">
        <v>3001.9479999999999</v>
      </c>
      <c r="O48" s="334"/>
      <c r="P48" s="334"/>
      <c r="Q48" s="334"/>
      <c r="R48" s="334"/>
      <c r="S48" s="334">
        <v>898.83</v>
      </c>
      <c r="T48" s="334"/>
      <c r="U48" s="334"/>
      <c r="V48" s="334"/>
      <c r="W48" s="334"/>
      <c r="X48" s="334">
        <v>930</v>
      </c>
      <c r="Y48" s="334"/>
      <c r="Z48" s="334"/>
      <c r="AA48" s="334"/>
      <c r="AB48" s="334"/>
      <c r="AC48" s="334">
        <v>1120</v>
      </c>
      <c r="AD48" s="107"/>
      <c r="AE48" s="107"/>
      <c r="AF48" s="107"/>
      <c r="AG48" s="107"/>
      <c r="AH48" s="108"/>
      <c r="AI48" s="108"/>
      <c r="AJ48" s="108"/>
    </row>
    <row r="49" spans="2:36" x14ac:dyDescent="0.25">
      <c r="B49" t="s">
        <v>264</v>
      </c>
      <c r="C49" s="106"/>
      <c r="E49" s="107"/>
      <c r="F49" s="107"/>
      <c r="G49" s="107"/>
      <c r="H49" s="107"/>
      <c r="I49" s="334">
        <v>-5.6269999999999998</v>
      </c>
      <c r="J49" s="334"/>
      <c r="K49" s="334"/>
      <c r="L49" s="334"/>
      <c r="M49" s="334"/>
      <c r="N49" s="334">
        <v>-19.600999999999999</v>
      </c>
      <c r="O49" s="334"/>
      <c r="P49" s="334"/>
      <c r="Q49" s="334"/>
      <c r="R49" s="334"/>
      <c r="S49" s="334">
        <v>10.935</v>
      </c>
      <c r="T49" s="334"/>
      <c r="U49" s="334"/>
      <c r="V49" s="334"/>
      <c r="W49" s="334"/>
      <c r="X49" s="334">
        <v>-1</v>
      </c>
      <c r="Y49" s="334"/>
      <c r="Z49" s="334"/>
      <c r="AA49" s="334"/>
      <c r="AB49" s="334"/>
      <c r="AC49" s="334">
        <v>-2875</v>
      </c>
      <c r="AD49" s="107"/>
      <c r="AE49" s="107"/>
      <c r="AF49" s="107"/>
      <c r="AG49" s="107"/>
      <c r="AH49" s="108"/>
      <c r="AI49" s="108"/>
      <c r="AJ49" s="108"/>
    </row>
    <row r="50" spans="2:36" x14ac:dyDescent="0.25">
      <c r="B50" t="s">
        <v>265</v>
      </c>
      <c r="C50" s="106"/>
      <c r="E50" s="107"/>
      <c r="F50" s="107"/>
      <c r="G50" s="107"/>
      <c r="H50" s="107"/>
      <c r="I50" s="334">
        <v>27.751000000000001</v>
      </c>
      <c r="J50" s="334"/>
      <c r="K50" s="334"/>
      <c r="L50" s="334"/>
      <c r="M50" s="334"/>
      <c r="N50" s="334">
        <v>82.125</v>
      </c>
      <c r="O50" s="334"/>
      <c r="P50" s="334"/>
      <c r="Q50" s="334"/>
      <c r="R50" s="334"/>
      <c r="S50" s="334">
        <v>3.081</v>
      </c>
      <c r="T50" s="334"/>
      <c r="U50" s="334"/>
      <c r="V50" s="334"/>
      <c r="W50" s="334"/>
      <c r="X50" s="334"/>
      <c r="Y50" s="334"/>
      <c r="Z50" s="334"/>
      <c r="AA50" s="334"/>
      <c r="AB50" s="334"/>
      <c r="AC50" s="334"/>
      <c r="AD50" s="107"/>
      <c r="AE50" s="107"/>
      <c r="AF50" s="107"/>
      <c r="AG50" s="107"/>
      <c r="AH50" s="108"/>
      <c r="AI50" s="108"/>
      <c r="AJ50" s="108"/>
    </row>
    <row r="51" spans="2:36" x14ac:dyDescent="0.25">
      <c r="B51" t="s">
        <v>266</v>
      </c>
      <c r="C51" s="106"/>
      <c r="E51" s="107"/>
      <c r="F51" s="107"/>
      <c r="G51" s="107"/>
      <c r="H51" s="107"/>
      <c r="I51" s="334">
        <v>-38.472000000000001</v>
      </c>
      <c r="J51" s="334"/>
      <c r="K51" s="334"/>
      <c r="L51" s="334"/>
      <c r="M51" s="334"/>
      <c r="N51" s="334">
        <v>31.457000000000001</v>
      </c>
      <c r="O51" s="334"/>
      <c r="P51" s="334"/>
      <c r="Q51" s="334"/>
      <c r="R51" s="334"/>
      <c r="S51" s="334">
        <v>-8.2530000000000001</v>
      </c>
      <c r="T51" s="334"/>
      <c r="U51" s="334"/>
      <c r="V51" s="334"/>
      <c r="W51" s="334"/>
      <c r="X51" s="334">
        <v>-2</v>
      </c>
      <c r="Y51" s="334"/>
      <c r="Z51" s="334"/>
      <c r="AA51" s="334"/>
      <c r="AB51" s="334"/>
      <c r="AC51" s="334"/>
      <c r="AD51" s="107"/>
      <c r="AE51" s="107"/>
      <c r="AF51" s="107"/>
      <c r="AG51" s="107"/>
      <c r="AH51" s="108"/>
      <c r="AI51" s="108"/>
      <c r="AJ51" s="108"/>
    </row>
    <row r="52" spans="2:36" x14ac:dyDescent="0.25">
      <c r="B52" t="s">
        <v>267</v>
      </c>
      <c r="C52" s="106"/>
      <c r="E52" s="107"/>
      <c r="F52" s="107"/>
      <c r="G52" s="107"/>
      <c r="H52" s="107"/>
      <c r="I52" s="334">
        <v>-286</v>
      </c>
      <c r="J52" s="334"/>
      <c r="K52" s="334"/>
      <c r="L52" s="334"/>
      <c r="M52" s="334"/>
      <c r="N52" s="334">
        <v>868.53899999999999</v>
      </c>
      <c r="O52" s="334"/>
      <c r="P52" s="334"/>
      <c r="Q52" s="334"/>
      <c r="R52" s="334"/>
      <c r="S52" s="334">
        <v>291.98700000000002</v>
      </c>
      <c r="T52" s="334"/>
      <c r="U52" s="334"/>
      <c r="V52" s="334"/>
      <c r="W52" s="334"/>
      <c r="X52" s="334" t="s">
        <v>116</v>
      </c>
      <c r="Y52" s="334"/>
      <c r="Z52" s="334"/>
      <c r="AA52" s="334"/>
      <c r="AB52" s="334"/>
      <c r="AC52" s="334" t="s">
        <v>116</v>
      </c>
      <c r="AD52" s="107"/>
      <c r="AE52" s="107"/>
      <c r="AF52" s="107"/>
      <c r="AG52" s="107"/>
      <c r="AH52" s="108"/>
      <c r="AI52" s="108"/>
      <c r="AJ52" s="108"/>
    </row>
    <row r="53" spans="2:36" x14ac:dyDescent="0.25">
      <c r="B53" t="s">
        <v>268</v>
      </c>
      <c r="C53" s="106"/>
      <c r="E53" s="107"/>
      <c r="F53" s="107"/>
      <c r="G53" s="107"/>
      <c r="H53" s="107"/>
      <c r="I53" s="334"/>
      <c r="J53" s="334"/>
      <c r="K53" s="334"/>
      <c r="L53" s="334"/>
      <c r="M53" s="334"/>
      <c r="N53" s="334">
        <v>18.323</v>
      </c>
      <c r="O53" s="334"/>
      <c r="P53" s="334"/>
      <c r="Q53" s="334"/>
      <c r="R53" s="334"/>
      <c r="S53" s="334">
        <v>8.4440000000000008</v>
      </c>
      <c r="T53" s="334"/>
      <c r="U53" s="334"/>
      <c r="V53" s="334"/>
      <c r="W53" s="334"/>
      <c r="X53" s="334"/>
      <c r="Y53" s="334"/>
      <c r="Z53" s="334"/>
      <c r="AA53" s="334"/>
      <c r="AB53" s="334"/>
      <c r="AC53" s="334"/>
      <c r="AD53" s="107"/>
      <c r="AE53" s="107"/>
      <c r="AF53" s="107"/>
      <c r="AG53" s="107"/>
      <c r="AH53" s="108"/>
      <c r="AI53" s="108"/>
      <c r="AJ53" s="108"/>
    </row>
    <row r="54" spans="2:36" x14ac:dyDescent="0.25">
      <c r="B54" t="s">
        <v>269</v>
      </c>
      <c r="C54" s="106"/>
      <c r="E54" s="107"/>
      <c r="F54" s="107"/>
      <c r="G54" s="107"/>
      <c r="H54" s="107"/>
      <c r="I54" s="334">
        <v>4.1529999999999996</v>
      </c>
      <c r="J54" s="334"/>
      <c r="K54" s="334"/>
      <c r="L54" s="334"/>
      <c r="M54" s="334"/>
      <c r="N54" s="334">
        <v>5.7690000000000001</v>
      </c>
      <c r="O54" s="334"/>
      <c r="P54" s="334"/>
      <c r="Q54" s="334"/>
      <c r="R54" s="334"/>
      <c r="S54" s="334">
        <v>6.806</v>
      </c>
      <c r="T54" s="334"/>
      <c r="U54" s="334"/>
      <c r="V54" s="334"/>
      <c r="W54" s="334"/>
      <c r="X54" s="334"/>
      <c r="Y54" s="334"/>
      <c r="Z54" s="334"/>
      <c r="AA54" s="334"/>
      <c r="AB54" s="334"/>
      <c r="AC54" s="334"/>
      <c r="AD54" s="107"/>
      <c r="AE54" s="107"/>
      <c r="AF54" s="107"/>
      <c r="AG54" s="107"/>
      <c r="AH54" s="108"/>
      <c r="AI54" s="108"/>
      <c r="AJ54" s="108"/>
    </row>
    <row r="55" spans="2:36" x14ac:dyDescent="0.25">
      <c r="B55" t="s">
        <v>270</v>
      </c>
      <c r="C55" s="106"/>
      <c r="E55" s="107"/>
      <c r="F55" s="107"/>
      <c r="G55" s="107"/>
      <c r="H55" s="107"/>
      <c r="I55" s="334">
        <v>2.927</v>
      </c>
      <c r="J55" s="334"/>
      <c r="K55" s="334"/>
      <c r="L55" s="334"/>
      <c r="M55" s="334"/>
      <c r="N55" s="334">
        <v>-53.176000000000002</v>
      </c>
      <c r="O55" s="334"/>
      <c r="P55" s="334"/>
      <c r="Q55" s="334"/>
      <c r="R55" s="334"/>
      <c r="S55" s="334">
        <v>24.370999999999999</v>
      </c>
      <c r="T55" s="334"/>
      <c r="U55" s="334"/>
      <c r="V55" s="334"/>
      <c r="W55" s="334"/>
      <c r="X55" s="334">
        <v>62</v>
      </c>
      <c r="Y55" s="334"/>
      <c r="Z55" s="334"/>
      <c r="AA55" s="334"/>
      <c r="AB55" s="334"/>
      <c r="AC55" s="334"/>
      <c r="AD55" s="107"/>
      <c r="AE55" s="107"/>
      <c r="AF55" s="107"/>
      <c r="AG55" s="107"/>
      <c r="AH55" s="108"/>
      <c r="AI55" s="108"/>
      <c r="AJ55" s="108"/>
    </row>
    <row r="56" spans="2:36" x14ac:dyDescent="0.25">
      <c r="B56" t="s">
        <v>239</v>
      </c>
      <c r="C56" s="106"/>
      <c r="E56" s="107"/>
      <c r="F56" s="107"/>
      <c r="G56" s="107"/>
      <c r="H56" s="107"/>
      <c r="I56" s="334"/>
      <c r="J56" s="334"/>
      <c r="K56" s="334"/>
      <c r="L56" s="334"/>
      <c r="M56" s="334"/>
      <c r="N56" s="334">
        <v>35.771999999999998</v>
      </c>
      <c r="O56" s="334"/>
      <c r="P56" s="334"/>
      <c r="Q56" s="334"/>
      <c r="R56" s="334"/>
      <c r="S56" s="334">
        <v>112.545</v>
      </c>
      <c r="T56" s="334"/>
      <c r="U56" s="334"/>
      <c r="V56" s="334"/>
      <c r="W56" s="334"/>
      <c r="X56" s="334">
        <v>91</v>
      </c>
      <c r="Y56" s="334"/>
      <c r="Z56" s="334"/>
      <c r="AA56" s="334"/>
      <c r="AB56" s="334"/>
      <c r="AC56" s="334" t="s">
        <v>116</v>
      </c>
      <c r="AD56" s="107"/>
      <c r="AE56" s="107"/>
      <c r="AF56" s="107"/>
      <c r="AG56" s="107"/>
      <c r="AH56" s="108"/>
      <c r="AI56" s="108"/>
      <c r="AJ56" s="108"/>
    </row>
    <row r="57" spans="2:36" x14ac:dyDescent="0.25">
      <c r="B57" t="s">
        <v>240</v>
      </c>
      <c r="C57" s="106"/>
      <c r="E57" s="107"/>
      <c r="F57" s="107"/>
      <c r="G57" s="107"/>
      <c r="H57" s="107"/>
      <c r="I57" s="334"/>
      <c r="J57" s="334"/>
      <c r="K57" s="334"/>
      <c r="L57" s="334"/>
      <c r="M57" s="334"/>
      <c r="N57" s="334"/>
      <c r="O57" s="334"/>
      <c r="P57" s="334"/>
      <c r="Q57" s="334"/>
      <c r="R57" s="334"/>
      <c r="S57" s="334">
        <v>377.24799999999999</v>
      </c>
      <c r="T57" s="334"/>
      <c r="U57" s="334"/>
      <c r="V57" s="334"/>
      <c r="W57" s="334"/>
      <c r="X57" s="334" t="s">
        <v>116</v>
      </c>
      <c r="Y57" s="334"/>
      <c r="Z57" s="334"/>
      <c r="AA57" s="334"/>
      <c r="AB57" s="334"/>
      <c r="AC57" s="334" t="s">
        <v>116</v>
      </c>
      <c r="AD57" s="107"/>
      <c r="AE57" s="107"/>
      <c r="AF57" s="107"/>
      <c r="AG57" s="107"/>
      <c r="AH57" s="108"/>
      <c r="AI57" s="108"/>
      <c r="AJ57" s="108"/>
    </row>
    <row r="58" spans="2:36" s="180" customFormat="1" x14ac:dyDescent="0.25">
      <c r="B58" s="180" t="s">
        <v>241</v>
      </c>
      <c r="C58" s="344"/>
      <c r="E58" s="111"/>
      <c r="F58" s="111"/>
      <c r="G58" s="111"/>
      <c r="H58" s="111"/>
      <c r="I58" s="345">
        <v>-2.524</v>
      </c>
      <c r="J58" s="345"/>
      <c r="K58" s="345"/>
      <c r="L58" s="345"/>
      <c r="M58" s="345"/>
      <c r="N58" s="345">
        <v>34.877000000000002</v>
      </c>
      <c r="O58" s="345"/>
      <c r="P58" s="345"/>
      <c r="Q58" s="345"/>
      <c r="R58" s="345"/>
      <c r="S58" s="345">
        <v>12.207000000000001</v>
      </c>
      <c r="T58" s="345"/>
      <c r="U58" s="345"/>
      <c r="V58" s="345"/>
      <c r="W58" s="345"/>
      <c r="X58" s="345">
        <v>8</v>
      </c>
      <c r="Y58" s="345"/>
      <c r="Z58" s="345"/>
      <c r="AA58" s="345"/>
      <c r="AB58" s="345"/>
      <c r="AC58" s="345">
        <v>83</v>
      </c>
      <c r="AD58" s="111"/>
      <c r="AE58" s="111"/>
      <c r="AF58" s="111"/>
      <c r="AG58" s="111"/>
      <c r="AH58" s="112"/>
      <c r="AI58" s="112"/>
      <c r="AJ58" s="112"/>
    </row>
    <row r="59" spans="2:36" x14ac:dyDescent="0.25">
      <c r="C59" s="106"/>
      <c r="E59" s="107"/>
      <c r="F59" s="107"/>
      <c r="G59" s="107"/>
      <c r="H59" s="107"/>
      <c r="I59" s="334"/>
      <c r="J59" s="334"/>
      <c r="K59" s="334"/>
      <c r="L59" s="334"/>
      <c r="M59" s="334"/>
      <c r="N59" s="334"/>
      <c r="O59" s="334"/>
      <c r="P59" s="334"/>
      <c r="Q59" s="334"/>
      <c r="R59" s="334"/>
      <c r="S59" s="334"/>
      <c r="T59" s="334"/>
      <c r="U59" s="334"/>
      <c r="V59" s="334"/>
      <c r="W59" s="334"/>
      <c r="X59" s="334"/>
      <c r="Y59" s="334"/>
      <c r="Z59" s="334"/>
      <c r="AA59" s="334"/>
      <c r="AB59" s="334"/>
      <c r="AC59" s="334"/>
      <c r="AD59" s="107"/>
      <c r="AE59" s="107"/>
      <c r="AF59" s="107"/>
      <c r="AG59" s="107"/>
      <c r="AH59" s="108"/>
      <c r="AI59" s="108"/>
      <c r="AJ59" s="108"/>
    </row>
    <row r="60" spans="2:36" x14ac:dyDescent="0.25">
      <c r="B60" s="1" t="s">
        <v>242</v>
      </c>
      <c r="I60" s="334"/>
      <c r="J60" s="334"/>
      <c r="K60" s="334"/>
      <c r="L60" s="334"/>
      <c r="M60" s="334"/>
      <c r="N60" s="334"/>
      <c r="O60" s="334"/>
      <c r="P60" s="334"/>
      <c r="Q60" s="334"/>
      <c r="R60" s="334"/>
      <c r="S60" s="334"/>
      <c r="T60" s="334"/>
      <c r="U60" s="334"/>
      <c r="V60" s="334"/>
      <c r="W60" s="334"/>
      <c r="X60" s="334"/>
      <c r="Y60" s="334"/>
      <c r="Z60" s="334"/>
      <c r="AA60" s="334"/>
      <c r="AB60" s="334"/>
      <c r="AC60" s="334"/>
      <c r="AD60" s="107"/>
      <c r="AE60" s="107"/>
      <c r="AF60" s="107"/>
      <c r="AG60" s="107"/>
      <c r="AH60" s="108"/>
      <c r="AI60" s="108"/>
      <c r="AJ60" s="108"/>
    </row>
    <row r="61" spans="2:36" x14ac:dyDescent="0.25">
      <c r="B61" t="s">
        <v>243</v>
      </c>
      <c r="I61" s="334"/>
      <c r="J61" s="334"/>
      <c r="K61" s="334"/>
      <c r="L61" s="334"/>
      <c r="M61" s="334"/>
      <c r="N61" s="334">
        <v>-4</v>
      </c>
      <c r="O61" s="334"/>
      <c r="P61" s="334"/>
      <c r="Q61" s="334"/>
      <c r="R61" s="334"/>
      <c r="S61" s="334">
        <v>-54</v>
      </c>
      <c r="T61" s="334">
        <v>-19</v>
      </c>
      <c r="U61" s="334">
        <v>-187</v>
      </c>
      <c r="V61" s="334">
        <v>-185</v>
      </c>
      <c r="W61" s="334"/>
      <c r="X61" s="334">
        <v>-226</v>
      </c>
      <c r="Y61" s="334">
        <v>-32</v>
      </c>
      <c r="Z61" s="334">
        <v>-83</v>
      </c>
      <c r="AA61" s="334">
        <v>-56</v>
      </c>
      <c r="AB61" s="334"/>
      <c r="AC61" s="334">
        <v>-102</v>
      </c>
      <c r="AD61" s="107">
        <v>13</v>
      </c>
      <c r="AE61" s="107"/>
      <c r="AF61" s="107"/>
      <c r="AG61" s="107"/>
      <c r="AH61" s="108"/>
      <c r="AI61" s="108"/>
      <c r="AJ61" s="108"/>
    </row>
    <row r="62" spans="2:36" x14ac:dyDescent="0.25">
      <c r="B62" t="s">
        <v>271</v>
      </c>
      <c r="I62" s="334">
        <v>49.125999999999998</v>
      </c>
      <c r="J62" s="334"/>
      <c r="K62" s="334"/>
      <c r="L62" s="334"/>
      <c r="M62" s="334"/>
      <c r="N62" s="334">
        <v>-33</v>
      </c>
      <c r="O62" s="334"/>
      <c r="P62" s="334"/>
      <c r="Q62" s="334"/>
      <c r="R62" s="334"/>
      <c r="S62" s="334">
        <v>25.155999999999999</v>
      </c>
      <c r="T62" s="334">
        <v>9</v>
      </c>
      <c r="U62" s="334">
        <v>18</v>
      </c>
      <c r="V62" s="334">
        <v>27</v>
      </c>
      <c r="W62" s="334"/>
      <c r="X62" s="334">
        <v>41</v>
      </c>
      <c r="Y62" s="334">
        <v>-1</v>
      </c>
      <c r="Z62" s="334">
        <v>7</v>
      </c>
      <c r="AA62" s="334">
        <v>14</v>
      </c>
      <c r="AB62" s="334"/>
      <c r="AC62" s="334"/>
      <c r="AD62" s="107"/>
      <c r="AE62" s="107"/>
      <c r="AF62" s="107"/>
      <c r="AG62" s="107"/>
      <c r="AH62" s="108"/>
      <c r="AI62" s="108"/>
      <c r="AJ62" s="108"/>
    </row>
    <row r="63" spans="2:36" x14ac:dyDescent="0.25">
      <c r="B63" t="s">
        <v>272</v>
      </c>
      <c r="I63" s="334">
        <v>75.715999999999994</v>
      </c>
      <c r="J63" s="334"/>
      <c r="K63" s="334"/>
      <c r="L63" s="334"/>
      <c r="M63" s="334"/>
      <c r="N63" s="334">
        <v>-73.111000000000004</v>
      </c>
      <c r="O63" s="334"/>
      <c r="P63" s="334"/>
      <c r="Q63" s="334"/>
      <c r="R63" s="334"/>
      <c r="S63" s="334">
        <v>39.945999999999998</v>
      </c>
      <c r="T63" s="334">
        <v>10</v>
      </c>
      <c r="U63" s="334">
        <v>23</v>
      </c>
      <c r="V63" s="334">
        <v>39</v>
      </c>
      <c r="W63" s="334"/>
      <c r="X63" s="334">
        <v>20</v>
      </c>
      <c r="Y63" s="334">
        <v>24</v>
      </c>
      <c r="Z63" s="334">
        <v>-38</v>
      </c>
      <c r="AA63" s="334">
        <v>27</v>
      </c>
      <c r="AB63" s="334"/>
      <c r="AC63" s="334"/>
      <c r="AD63" s="107"/>
      <c r="AE63" s="107"/>
      <c r="AF63" s="107"/>
      <c r="AG63" s="107"/>
      <c r="AH63" s="108"/>
      <c r="AI63" s="108"/>
      <c r="AJ63" s="108"/>
    </row>
    <row r="64" spans="2:36" x14ac:dyDescent="0.25">
      <c r="B64" t="s">
        <v>244</v>
      </c>
      <c r="I64" s="334"/>
      <c r="J64" s="334"/>
      <c r="K64" s="334"/>
      <c r="L64" s="334"/>
      <c r="M64" s="334"/>
      <c r="N64" s="334">
        <v>-79</v>
      </c>
      <c r="O64" s="334"/>
      <c r="P64" s="334"/>
      <c r="Q64" s="334"/>
      <c r="R64" s="334"/>
      <c r="S64" s="334">
        <v>288</v>
      </c>
      <c r="T64" s="334">
        <v>109</v>
      </c>
      <c r="U64" s="334">
        <v>44</v>
      </c>
      <c r="V64" s="334">
        <v>217</v>
      </c>
      <c r="W64" s="334"/>
      <c r="X64" s="334">
        <v>273</v>
      </c>
      <c r="Y64" s="334">
        <v>250</v>
      </c>
      <c r="Z64" s="334">
        <v>133</v>
      </c>
      <c r="AA64" s="334">
        <v>321</v>
      </c>
      <c r="AB64" s="334"/>
      <c r="AC64" s="334">
        <v>580</v>
      </c>
      <c r="AD64" s="107">
        <v>325</v>
      </c>
      <c r="AE64" s="107"/>
      <c r="AF64" s="107"/>
      <c r="AG64" s="107"/>
      <c r="AH64" s="108"/>
      <c r="AI64" s="108"/>
      <c r="AJ64" s="108"/>
    </row>
    <row r="65" spans="2:36" x14ac:dyDescent="0.25">
      <c r="B65" t="s">
        <v>113</v>
      </c>
      <c r="I65" s="334">
        <v>-41.923000000000002</v>
      </c>
      <c r="J65" s="334"/>
      <c r="K65" s="334"/>
      <c r="L65" s="334"/>
      <c r="M65" s="334"/>
      <c r="N65" s="334">
        <v>60.896999999999998</v>
      </c>
      <c r="O65" s="334"/>
      <c r="P65" s="334"/>
      <c r="Q65" s="334"/>
      <c r="R65" s="334"/>
      <c r="S65" s="334">
        <v>-33.774000000000001</v>
      </c>
      <c r="T65" s="334"/>
      <c r="U65" s="334"/>
      <c r="V65" s="334"/>
      <c r="W65" s="334"/>
      <c r="X65" s="334">
        <v>-69</v>
      </c>
      <c r="Y65" s="334"/>
      <c r="Z65" s="334"/>
      <c r="AA65" s="334"/>
      <c r="AB65" s="334"/>
      <c r="AC65" s="334"/>
      <c r="AD65" s="107"/>
      <c r="AE65" s="107"/>
      <c r="AF65" s="107"/>
      <c r="AG65" s="107"/>
      <c r="AH65" s="108"/>
      <c r="AI65" s="108"/>
      <c r="AJ65" s="108"/>
    </row>
    <row r="66" spans="2:36" x14ac:dyDescent="0.25">
      <c r="B66" t="s">
        <v>245</v>
      </c>
      <c r="I66" s="334">
        <v>176.25399999999999</v>
      </c>
      <c r="J66" s="334"/>
      <c r="K66" s="334"/>
      <c r="L66" s="334"/>
      <c r="M66" s="334"/>
      <c r="N66" s="334">
        <v>-267.00900000000001</v>
      </c>
      <c r="O66" s="334"/>
      <c r="P66" s="334"/>
      <c r="Q66" s="334"/>
      <c r="R66" s="334"/>
      <c r="S66" s="334">
        <v>495.81599999999997</v>
      </c>
      <c r="T66" s="334"/>
      <c r="U66" s="334">
        <v>1078</v>
      </c>
      <c r="V66" s="334">
        <v>319</v>
      </c>
      <c r="W66" s="334"/>
      <c r="X66" s="334">
        <v>280</v>
      </c>
      <c r="Y66" s="334">
        <v>989</v>
      </c>
      <c r="Z66" s="334">
        <v>1163</v>
      </c>
      <c r="AA66" s="334">
        <v>284</v>
      </c>
      <c r="AB66" s="334"/>
      <c r="AC66" s="334">
        <v>242</v>
      </c>
      <c r="AD66" s="107">
        <v>1008</v>
      </c>
      <c r="AE66" s="107"/>
      <c r="AF66" s="107"/>
      <c r="AG66" s="107"/>
      <c r="AH66" s="108"/>
      <c r="AI66" s="108"/>
      <c r="AJ66" s="108"/>
    </row>
    <row r="67" spans="2:36" x14ac:dyDescent="0.25">
      <c r="B67" t="s">
        <v>114</v>
      </c>
      <c r="I67" s="334"/>
      <c r="J67" s="334"/>
      <c r="K67" s="334"/>
      <c r="L67" s="334"/>
      <c r="M67" s="334"/>
      <c r="N67" s="334">
        <v>-740</v>
      </c>
      <c r="O67" s="334"/>
      <c r="P67" s="334"/>
      <c r="Q67" s="334"/>
      <c r="R67" s="334"/>
      <c r="S67" s="334">
        <v>2313</v>
      </c>
      <c r="T67" s="334"/>
      <c r="U67" s="334"/>
      <c r="V67" s="334"/>
      <c r="W67" s="334"/>
      <c r="X67" s="334">
        <v>3430</v>
      </c>
      <c r="Y67" s="334"/>
      <c r="Z67" s="334"/>
      <c r="AA67" s="334"/>
      <c r="AB67" s="334"/>
      <c r="AC67" s="334">
        <v>3884</v>
      </c>
      <c r="AD67" s="107"/>
      <c r="AE67" s="107"/>
      <c r="AF67" s="107"/>
      <c r="AG67" s="107"/>
      <c r="AH67" s="108"/>
      <c r="AI67" s="108"/>
      <c r="AJ67" s="108"/>
    </row>
    <row r="68" spans="2:36" x14ac:dyDescent="0.25">
      <c r="I68" s="334"/>
      <c r="J68" s="334"/>
      <c r="K68" s="334"/>
      <c r="L68" s="334"/>
      <c r="M68" s="334"/>
      <c r="N68" s="334"/>
      <c r="O68" s="334"/>
      <c r="P68" s="334"/>
      <c r="Q68" s="334"/>
      <c r="R68" s="334"/>
      <c r="S68" s="334"/>
      <c r="T68" s="334"/>
      <c r="U68" s="334"/>
      <c r="V68" s="334"/>
      <c r="W68" s="334"/>
      <c r="X68" s="334"/>
      <c r="Y68" s="334"/>
      <c r="Z68" s="334"/>
      <c r="AA68" s="334"/>
      <c r="AB68" s="334"/>
      <c r="AC68" s="334"/>
      <c r="AD68" s="107"/>
      <c r="AE68" s="107"/>
      <c r="AF68" s="107"/>
      <c r="AG68" s="107"/>
      <c r="AH68" s="108"/>
      <c r="AI68" s="108"/>
      <c r="AJ68" s="108"/>
    </row>
    <row r="69" spans="2:36" x14ac:dyDescent="0.25">
      <c r="B69" s="1" t="s">
        <v>115</v>
      </c>
      <c r="I69" s="334"/>
      <c r="J69" s="334"/>
      <c r="K69" s="334"/>
      <c r="L69" s="334"/>
      <c r="M69" s="334"/>
      <c r="N69" s="334"/>
      <c r="O69" s="334"/>
      <c r="P69" s="334"/>
      <c r="Q69" s="334"/>
      <c r="R69" s="334"/>
      <c r="S69" s="334"/>
      <c r="T69" s="334"/>
      <c r="U69" s="334"/>
      <c r="V69" s="334"/>
      <c r="W69" s="334"/>
      <c r="X69" s="334"/>
      <c r="Y69" s="334"/>
      <c r="Z69" s="334"/>
      <c r="AA69" s="334"/>
      <c r="AB69" s="334"/>
      <c r="AC69" s="334"/>
      <c r="AD69" s="107"/>
      <c r="AE69" s="107"/>
      <c r="AF69" s="107"/>
      <c r="AG69" s="107"/>
      <c r="AH69" s="108"/>
      <c r="AI69" s="108"/>
      <c r="AJ69" s="108"/>
    </row>
    <row r="70" spans="2:36" x14ac:dyDescent="0.25">
      <c r="B70" s="375" t="s">
        <v>273</v>
      </c>
      <c r="I70" s="334">
        <v>-125.452</v>
      </c>
      <c r="J70" s="334">
        <v>-15.667</v>
      </c>
      <c r="K70" s="334">
        <v>-6.1859999999999999</v>
      </c>
      <c r="L70" s="334">
        <v>-7.6360000000000001</v>
      </c>
      <c r="M70" s="334">
        <f>N70-L70-K70-J70</f>
        <v>-7.8820000000000032</v>
      </c>
      <c r="N70" s="334">
        <v>-37.371000000000002</v>
      </c>
      <c r="O70" s="334">
        <v>-7.7060000000000004</v>
      </c>
      <c r="P70" s="334">
        <v>-7.6520000000000001</v>
      </c>
      <c r="Q70" s="334">
        <v>-5.5060000000000002</v>
      </c>
      <c r="R70" s="334">
        <f>S70-Q70-P70-O70</f>
        <v>-4.4579999999999975</v>
      </c>
      <c r="S70" s="334">
        <v>-25.321999999999999</v>
      </c>
      <c r="T70" s="334">
        <v>-5.9589999999999996</v>
      </c>
      <c r="U70" s="334">
        <v>-5.048</v>
      </c>
      <c r="V70" s="334">
        <v>-5.5990000000000002</v>
      </c>
      <c r="W70" s="334">
        <f>X70-V70-U70-T70</f>
        <v>-8.3940000000000001</v>
      </c>
      <c r="X70" s="334">
        <v>-25</v>
      </c>
      <c r="Y70" s="334">
        <v>-6</v>
      </c>
      <c r="Z70" s="334">
        <v>-9</v>
      </c>
      <c r="AA70" s="334">
        <v>-15</v>
      </c>
      <c r="AB70" s="334">
        <f>AC70-AA70-Z70-Y70</f>
        <v>-17</v>
      </c>
      <c r="AC70" s="334">
        <v>-47</v>
      </c>
      <c r="AD70" s="107">
        <v>-14</v>
      </c>
      <c r="AE70" s="107"/>
      <c r="AF70" s="107"/>
      <c r="AG70" s="107"/>
      <c r="AH70" s="108"/>
      <c r="AI70" s="108"/>
      <c r="AJ70" s="108"/>
    </row>
    <row r="71" spans="2:36" x14ac:dyDescent="0.25">
      <c r="B71" t="s">
        <v>246</v>
      </c>
      <c r="I71" s="334"/>
      <c r="J71" s="334"/>
      <c r="K71" s="334"/>
      <c r="L71" s="334"/>
      <c r="M71" s="334"/>
      <c r="N71" s="334">
        <v>-3033</v>
      </c>
      <c r="O71" s="334"/>
      <c r="P71" s="334"/>
      <c r="Q71" s="334"/>
      <c r="R71" s="334"/>
      <c r="S71" s="334">
        <v>-4938</v>
      </c>
      <c r="T71" s="334"/>
      <c r="U71" s="334"/>
      <c r="V71" s="334"/>
      <c r="W71" s="334"/>
      <c r="X71" s="334">
        <v>-4072</v>
      </c>
      <c r="Y71" s="334"/>
      <c r="Z71" s="334"/>
      <c r="AA71" s="334"/>
      <c r="AB71" s="334"/>
      <c r="AC71" s="334">
        <v>-3308</v>
      </c>
      <c r="AD71" s="107"/>
      <c r="AE71" s="107"/>
      <c r="AF71" s="107"/>
      <c r="AG71" s="107"/>
      <c r="AH71" s="108"/>
      <c r="AI71" s="108"/>
      <c r="AJ71" s="108"/>
    </row>
    <row r="72" spans="2:36" x14ac:dyDescent="0.25">
      <c r="B72" t="s">
        <v>247</v>
      </c>
      <c r="I72" s="334"/>
      <c r="J72" s="334"/>
      <c r="K72" s="334"/>
      <c r="L72" s="334"/>
      <c r="M72" s="334"/>
      <c r="N72" s="334">
        <v>3158</v>
      </c>
      <c r="O72" s="334"/>
      <c r="P72" s="334"/>
      <c r="Q72" s="334"/>
      <c r="R72" s="334"/>
      <c r="S72" s="334">
        <v>3611</v>
      </c>
      <c r="T72" s="334"/>
      <c r="U72" s="334"/>
      <c r="V72" s="334"/>
      <c r="W72" s="334"/>
      <c r="X72" s="334">
        <v>4071</v>
      </c>
      <c r="Y72" s="334"/>
      <c r="Z72" s="334"/>
      <c r="AA72" s="334"/>
      <c r="AB72" s="334"/>
      <c r="AC72" s="334">
        <v>2380</v>
      </c>
      <c r="AD72" s="107"/>
      <c r="AE72" s="107"/>
      <c r="AF72" s="107"/>
      <c r="AG72" s="107"/>
      <c r="AH72" s="108"/>
      <c r="AI72" s="108"/>
      <c r="AJ72" s="108"/>
    </row>
    <row r="73" spans="2:36" x14ac:dyDescent="0.25">
      <c r="B73" t="s">
        <v>248</v>
      </c>
      <c r="I73" s="334"/>
      <c r="J73" s="334"/>
      <c r="K73" s="334"/>
      <c r="L73" s="334"/>
      <c r="M73" s="334"/>
      <c r="N73" s="334">
        <v>-8</v>
      </c>
      <c r="O73" s="334"/>
      <c r="P73" s="334"/>
      <c r="Q73" s="334"/>
      <c r="R73" s="334"/>
      <c r="S73" s="334"/>
      <c r="T73" s="334"/>
      <c r="U73" s="334"/>
      <c r="V73" s="334"/>
      <c r="W73" s="334"/>
      <c r="X73" s="334">
        <v>-2</v>
      </c>
      <c r="Y73" s="334"/>
      <c r="Z73" s="334"/>
      <c r="AA73" s="334"/>
      <c r="AB73" s="334"/>
      <c r="AC73" s="334">
        <v>-114</v>
      </c>
      <c r="AD73" s="107"/>
      <c r="AE73" s="107"/>
      <c r="AF73" s="107"/>
      <c r="AG73" s="107"/>
      <c r="AH73" s="108"/>
      <c r="AI73" s="108"/>
      <c r="AJ73" s="108"/>
    </row>
    <row r="74" spans="2:36" x14ac:dyDescent="0.25">
      <c r="B74" t="s">
        <v>249</v>
      </c>
      <c r="I74" s="334"/>
      <c r="J74" s="334"/>
      <c r="K74" s="334"/>
      <c r="L74" s="334"/>
      <c r="M74" s="334"/>
      <c r="N74" s="334">
        <v>80</v>
      </c>
      <c r="O74" s="334"/>
      <c r="P74" s="334"/>
      <c r="Q74" s="334"/>
      <c r="R74" s="334"/>
      <c r="S74" s="334">
        <v>-1352</v>
      </c>
      <c r="T74" s="334"/>
      <c r="U74" s="334"/>
      <c r="V74" s="334"/>
      <c r="W74" s="334"/>
      <c r="X74" s="334">
        <v>-28</v>
      </c>
      <c r="Y74" s="334"/>
      <c r="Z74" s="334"/>
      <c r="AA74" s="334"/>
      <c r="AB74" s="334"/>
      <c r="AC74" s="334">
        <v>-1042</v>
      </c>
      <c r="AD74" s="107"/>
      <c r="AE74" s="107"/>
      <c r="AF74" s="107"/>
      <c r="AG74" s="107"/>
      <c r="AH74" s="108"/>
      <c r="AI74" s="108"/>
      <c r="AJ74" s="108"/>
    </row>
    <row r="75" spans="2:36" x14ac:dyDescent="0.25">
      <c r="I75" s="334"/>
      <c r="J75" s="334"/>
      <c r="K75" s="334"/>
      <c r="L75" s="334"/>
      <c r="M75" s="334"/>
      <c r="N75" s="334"/>
      <c r="O75" s="334"/>
      <c r="P75" s="334"/>
      <c r="Q75" s="334"/>
      <c r="R75" s="334"/>
      <c r="S75" s="334"/>
      <c r="T75" s="334"/>
      <c r="U75" s="334"/>
      <c r="V75" s="334"/>
      <c r="W75" s="334"/>
      <c r="X75" s="334"/>
      <c r="Y75" s="334"/>
      <c r="Z75" s="334"/>
      <c r="AA75" s="334"/>
      <c r="AB75" s="334"/>
      <c r="AC75" s="334"/>
      <c r="AD75" s="107"/>
      <c r="AE75" s="107"/>
      <c r="AF75" s="107"/>
      <c r="AG75" s="107"/>
      <c r="AH75" s="108"/>
      <c r="AI75" s="108"/>
      <c r="AJ75" s="108"/>
    </row>
    <row r="76" spans="2:36" x14ac:dyDescent="0.25">
      <c r="B76" s="1" t="s">
        <v>117</v>
      </c>
      <c r="I76" s="334"/>
      <c r="J76" s="334"/>
      <c r="K76" s="334"/>
      <c r="L76" s="334"/>
      <c r="M76" s="334"/>
      <c r="N76" s="334"/>
      <c r="O76" s="334"/>
      <c r="P76" s="334"/>
      <c r="Q76" s="334"/>
      <c r="R76" s="334"/>
      <c r="S76" s="334"/>
      <c r="T76" s="334"/>
      <c r="U76" s="334"/>
      <c r="V76" s="334"/>
      <c r="W76" s="334"/>
      <c r="X76" s="334"/>
      <c r="Y76" s="334"/>
      <c r="Z76" s="334"/>
      <c r="AA76" s="334"/>
      <c r="AB76" s="334"/>
      <c r="AC76" s="334"/>
      <c r="AD76" s="107"/>
      <c r="AE76" s="107"/>
      <c r="AF76" s="107"/>
      <c r="AG76" s="107"/>
      <c r="AH76" s="108"/>
      <c r="AI76" s="108"/>
      <c r="AJ76" s="108"/>
    </row>
    <row r="77" spans="2:36" x14ac:dyDescent="0.25">
      <c r="B77" t="s">
        <v>274</v>
      </c>
      <c r="I77" s="334"/>
      <c r="J77" s="334"/>
      <c r="K77" s="334"/>
      <c r="L77" s="334"/>
      <c r="M77" s="334"/>
      <c r="N77" s="334">
        <v>3651</v>
      </c>
      <c r="O77" s="334"/>
      <c r="P77" s="334"/>
      <c r="Q77" s="334"/>
      <c r="R77" s="334"/>
      <c r="S77" s="334"/>
      <c r="T77" s="334"/>
      <c r="U77" s="334"/>
      <c r="V77" s="334"/>
      <c r="W77" s="334"/>
      <c r="X77" s="334"/>
      <c r="Y77" s="334"/>
      <c r="Z77" s="334"/>
      <c r="AA77" s="334"/>
      <c r="AB77" s="334"/>
      <c r="AC77" s="334"/>
      <c r="AD77" s="107"/>
      <c r="AE77" s="107"/>
      <c r="AF77" s="107"/>
      <c r="AG77" s="107"/>
      <c r="AH77" s="108"/>
      <c r="AI77" s="108"/>
      <c r="AJ77" s="108"/>
    </row>
    <row r="78" spans="2:36" x14ac:dyDescent="0.25">
      <c r="B78" t="s">
        <v>250</v>
      </c>
      <c r="I78" s="334"/>
      <c r="J78" s="334"/>
      <c r="K78" s="334"/>
      <c r="L78" s="334"/>
      <c r="M78" s="334"/>
      <c r="N78" s="334">
        <v>-1527</v>
      </c>
      <c r="O78" s="334"/>
      <c r="P78" s="334"/>
      <c r="Q78" s="334"/>
      <c r="R78" s="334"/>
      <c r="S78" s="334">
        <v>-177</v>
      </c>
      <c r="T78" s="334"/>
      <c r="U78" s="334"/>
      <c r="V78" s="334"/>
      <c r="W78" s="334"/>
      <c r="X78" s="334">
        <v>-607</v>
      </c>
      <c r="Y78" s="334"/>
      <c r="Z78" s="334"/>
      <c r="AA78" s="334"/>
      <c r="AB78" s="334"/>
      <c r="AC78" s="334">
        <v>-1224</v>
      </c>
      <c r="AD78" s="107"/>
      <c r="AE78" s="107"/>
      <c r="AF78" s="107"/>
      <c r="AG78" s="107"/>
      <c r="AH78" s="108"/>
      <c r="AI78" s="108"/>
      <c r="AJ78" s="108"/>
    </row>
    <row r="79" spans="2:36" x14ac:dyDescent="0.25">
      <c r="B79" t="s">
        <v>251</v>
      </c>
      <c r="I79" s="334"/>
      <c r="J79" s="334"/>
      <c r="K79" s="334"/>
      <c r="L79" s="334"/>
      <c r="M79" s="334"/>
      <c r="N79" s="334">
        <v>-5</v>
      </c>
      <c r="O79" s="334"/>
      <c r="P79" s="334"/>
      <c r="Q79" s="334"/>
      <c r="R79" s="334"/>
      <c r="S79" s="334">
        <v>-1995</v>
      </c>
      <c r="T79" s="334"/>
      <c r="U79" s="334"/>
      <c r="V79" s="334"/>
      <c r="W79" s="334"/>
      <c r="X79" s="334" t="s">
        <v>116</v>
      </c>
      <c r="Y79" s="334" t="s">
        <v>116</v>
      </c>
      <c r="Z79" s="334" t="s">
        <v>116</v>
      </c>
      <c r="AA79" s="334" t="s">
        <v>116</v>
      </c>
      <c r="AB79" s="334" t="s">
        <v>116</v>
      </c>
      <c r="AC79" s="334" t="s">
        <v>116</v>
      </c>
      <c r="AD79" s="107"/>
      <c r="AE79" s="107"/>
      <c r="AF79" s="107"/>
      <c r="AG79" s="107"/>
      <c r="AH79" s="108"/>
      <c r="AI79" s="108"/>
      <c r="AJ79" s="108"/>
    </row>
    <row r="80" spans="2:36" x14ac:dyDescent="0.25">
      <c r="B80" t="s">
        <v>252</v>
      </c>
      <c r="I80" s="334"/>
      <c r="J80" s="334"/>
      <c r="K80" s="334"/>
      <c r="L80" s="334"/>
      <c r="M80" s="334"/>
      <c r="N80" s="334"/>
      <c r="O80" s="334"/>
      <c r="P80" s="334"/>
      <c r="Q80" s="334"/>
      <c r="R80" s="334"/>
      <c r="S80" s="334">
        <v>-213</v>
      </c>
      <c r="T80" s="334"/>
      <c r="U80" s="334"/>
      <c r="V80" s="334"/>
      <c r="W80" s="334"/>
      <c r="X80" s="334" t="s">
        <v>116</v>
      </c>
      <c r="Y80" s="334" t="s">
        <v>116</v>
      </c>
      <c r="Z80" s="334" t="s">
        <v>116</v>
      </c>
      <c r="AA80" s="334" t="s">
        <v>116</v>
      </c>
      <c r="AB80" s="334" t="s">
        <v>116</v>
      </c>
      <c r="AC80" s="334" t="s">
        <v>116</v>
      </c>
      <c r="AD80" s="107"/>
      <c r="AE80" s="107"/>
      <c r="AF80" s="107"/>
      <c r="AG80" s="107"/>
      <c r="AH80" s="108"/>
      <c r="AI80" s="108"/>
      <c r="AJ80" s="108"/>
    </row>
    <row r="81" spans="2:36" x14ac:dyDescent="0.25">
      <c r="B81" t="s">
        <v>275</v>
      </c>
      <c r="I81" s="334"/>
      <c r="J81" s="334"/>
      <c r="K81" s="334"/>
      <c r="L81" s="334"/>
      <c r="M81" s="334"/>
      <c r="N81" s="334">
        <v>1929</v>
      </c>
      <c r="O81" s="334"/>
      <c r="P81" s="334"/>
      <c r="Q81" s="334"/>
      <c r="R81" s="334"/>
      <c r="S81" s="334"/>
      <c r="T81" s="334"/>
      <c r="U81" s="334"/>
      <c r="V81" s="334"/>
      <c r="W81" s="334"/>
      <c r="X81" s="334"/>
      <c r="Y81" s="334"/>
      <c r="Z81" s="334"/>
      <c r="AA81" s="334"/>
      <c r="AB81" s="334"/>
      <c r="AC81" s="334"/>
      <c r="AD81" s="107"/>
      <c r="AE81" s="107"/>
      <c r="AF81" s="107"/>
      <c r="AG81" s="107"/>
      <c r="AH81" s="108"/>
      <c r="AI81" s="108"/>
      <c r="AJ81" s="108"/>
    </row>
    <row r="82" spans="2:36" x14ac:dyDescent="0.25">
      <c r="B82" t="s">
        <v>253</v>
      </c>
      <c r="I82" s="334"/>
      <c r="J82" s="334"/>
      <c r="K82" s="334"/>
      <c r="L82" s="334"/>
      <c r="M82" s="334"/>
      <c r="N82" s="334"/>
      <c r="O82" s="334"/>
      <c r="P82" s="334"/>
      <c r="Q82" s="334"/>
      <c r="R82" s="334"/>
      <c r="S82" s="334">
        <v>1979</v>
      </c>
      <c r="T82" s="334"/>
      <c r="U82" s="334"/>
      <c r="V82" s="334"/>
      <c r="W82" s="334"/>
      <c r="X82" s="334" t="s">
        <v>116</v>
      </c>
      <c r="Y82" s="334" t="s">
        <v>116</v>
      </c>
      <c r="Z82" s="334" t="s">
        <v>116</v>
      </c>
      <c r="AA82" s="334" t="s">
        <v>116</v>
      </c>
      <c r="AB82" s="334" t="s">
        <v>116</v>
      </c>
      <c r="AC82" s="334" t="s">
        <v>116</v>
      </c>
      <c r="AD82" s="107"/>
      <c r="AE82" s="107"/>
      <c r="AF82" s="107"/>
      <c r="AG82" s="107"/>
      <c r="AH82" s="108"/>
      <c r="AI82" s="108"/>
      <c r="AJ82" s="108"/>
    </row>
    <row r="83" spans="2:36" x14ac:dyDescent="0.25">
      <c r="B83" t="s">
        <v>254</v>
      </c>
      <c r="I83" s="334"/>
      <c r="J83" s="334"/>
      <c r="K83" s="334"/>
      <c r="L83" s="334"/>
      <c r="M83" s="334"/>
      <c r="N83" s="334"/>
      <c r="O83" s="334"/>
      <c r="P83" s="334"/>
      <c r="Q83" s="334"/>
      <c r="R83" s="334"/>
      <c r="S83" s="334">
        <v>-100</v>
      </c>
      <c r="T83" s="334"/>
      <c r="U83" s="334"/>
      <c r="V83" s="334"/>
      <c r="W83" s="334"/>
      <c r="X83" s="334" t="s">
        <v>116</v>
      </c>
      <c r="Y83" s="334" t="s">
        <v>116</v>
      </c>
      <c r="Z83" s="334" t="s">
        <v>116</v>
      </c>
      <c r="AA83" s="334" t="s">
        <v>116</v>
      </c>
      <c r="AB83" s="334" t="s">
        <v>116</v>
      </c>
      <c r="AC83" s="334" t="s">
        <v>116</v>
      </c>
      <c r="AD83" s="107"/>
      <c r="AE83" s="107"/>
      <c r="AF83" s="107"/>
      <c r="AG83" s="107"/>
      <c r="AH83" s="108"/>
      <c r="AI83" s="108"/>
      <c r="AJ83" s="108"/>
    </row>
    <row r="84" spans="2:36" x14ac:dyDescent="0.25">
      <c r="B84" t="s">
        <v>255</v>
      </c>
      <c r="I84" s="334"/>
      <c r="J84" s="334"/>
      <c r="K84" s="334"/>
      <c r="L84" s="334"/>
      <c r="M84" s="334"/>
      <c r="N84" s="334"/>
      <c r="O84" s="334"/>
      <c r="P84" s="334"/>
      <c r="Q84" s="334"/>
      <c r="R84" s="334"/>
      <c r="S84" s="334">
        <v>189</v>
      </c>
      <c r="T84" s="334"/>
      <c r="U84" s="334"/>
      <c r="V84" s="334"/>
      <c r="W84" s="334"/>
      <c r="X84" s="334">
        <v>88</v>
      </c>
      <c r="Y84" s="334"/>
      <c r="Z84" s="334"/>
      <c r="AA84" s="334"/>
      <c r="AB84" s="334"/>
      <c r="AC84" s="334">
        <v>110</v>
      </c>
      <c r="AD84" s="107"/>
      <c r="AE84" s="107"/>
      <c r="AF84" s="107"/>
      <c r="AG84" s="107"/>
      <c r="AH84" s="108"/>
      <c r="AI84" s="108"/>
      <c r="AJ84" s="108"/>
    </row>
    <row r="85" spans="2:36" x14ac:dyDescent="0.25">
      <c r="B85" t="s">
        <v>256</v>
      </c>
      <c r="I85" s="334"/>
      <c r="J85" s="334"/>
      <c r="K85" s="334"/>
      <c r="L85" s="334"/>
      <c r="M85" s="334"/>
      <c r="N85" s="334"/>
      <c r="O85" s="334"/>
      <c r="P85" s="334"/>
      <c r="Q85" s="334"/>
      <c r="R85" s="334"/>
      <c r="S85" s="334" t="s">
        <v>116</v>
      </c>
      <c r="T85" s="334"/>
      <c r="U85" s="334"/>
      <c r="V85" s="334"/>
      <c r="W85" s="334"/>
      <c r="X85" s="334">
        <v>-1500</v>
      </c>
      <c r="Y85" s="334"/>
      <c r="Z85" s="334"/>
      <c r="AA85" s="334"/>
      <c r="AB85" s="334"/>
      <c r="AC85" s="334">
        <v>-2252</v>
      </c>
      <c r="AD85" s="107"/>
      <c r="AE85" s="107"/>
      <c r="AF85" s="107"/>
      <c r="AG85" s="107"/>
      <c r="AH85" s="108"/>
      <c r="AI85" s="108"/>
      <c r="AJ85" s="108"/>
    </row>
    <row r="86" spans="2:36" x14ac:dyDescent="0.25">
      <c r="B86" t="s">
        <v>257</v>
      </c>
      <c r="I86" s="334"/>
      <c r="J86" s="334"/>
      <c r="K86" s="334"/>
      <c r="L86" s="334"/>
      <c r="M86" s="334"/>
      <c r="N86" s="334">
        <v>-1024</v>
      </c>
      <c r="O86" s="334"/>
      <c r="P86" s="334"/>
      <c r="Q86" s="334"/>
      <c r="R86" s="334"/>
      <c r="S86" s="334">
        <v>1625</v>
      </c>
      <c r="T86" s="334"/>
      <c r="U86" s="334"/>
      <c r="V86" s="334"/>
      <c r="W86" s="334"/>
      <c r="X86" s="334">
        <v>1330</v>
      </c>
      <c r="Y86" s="334"/>
      <c r="Z86" s="334"/>
      <c r="AA86" s="334"/>
      <c r="AB86" s="334"/>
      <c r="AC86" s="334">
        <v>936</v>
      </c>
      <c r="AD86" s="107"/>
      <c r="AE86" s="107"/>
      <c r="AF86" s="107"/>
      <c r="AG86" s="107"/>
      <c r="AH86" s="108"/>
      <c r="AI86" s="108"/>
      <c r="AJ86" s="108"/>
    </row>
    <row r="87" spans="2:36" x14ac:dyDescent="0.25">
      <c r="B87" t="s">
        <v>276</v>
      </c>
      <c r="I87" s="334"/>
      <c r="J87" s="334"/>
      <c r="K87" s="334"/>
      <c r="L87" s="334"/>
      <c r="M87" s="334"/>
      <c r="N87" s="334">
        <v>12</v>
      </c>
      <c r="O87" s="334"/>
      <c r="P87" s="334"/>
      <c r="Q87" s="334"/>
      <c r="R87" s="334"/>
      <c r="S87" s="334"/>
      <c r="T87" s="334"/>
      <c r="U87" s="334"/>
      <c r="V87" s="334"/>
      <c r="W87" s="334"/>
      <c r="X87" s="334"/>
      <c r="Y87" s="334"/>
      <c r="Z87" s="334"/>
      <c r="AA87" s="334"/>
      <c r="AB87" s="334"/>
      <c r="AC87" s="334"/>
      <c r="AD87" s="107"/>
      <c r="AE87" s="107"/>
      <c r="AF87" s="107"/>
      <c r="AG87" s="107"/>
      <c r="AH87" s="108"/>
      <c r="AI87" s="108"/>
      <c r="AJ87" s="108"/>
    </row>
    <row r="88" spans="2:36" x14ac:dyDescent="0.25">
      <c r="B88" t="s">
        <v>258</v>
      </c>
      <c r="I88" s="334"/>
      <c r="J88" s="334"/>
      <c r="K88" s="334"/>
      <c r="L88" s="334"/>
      <c r="M88" s="334"/>
      <c r="N88" s="334">
        <v>3051</v>
      </c>
      <c r="O88" s="334"/>
      <c r="P88" s="334"/>
      <c r="Q88" s="334"/>
      <c r="R88" s="334"/>
      <c r="S88" s="334">
        <v>1308</v>
      </c>
      <c r="T88" s="334"/>
      <c r="U88" s="334"/>
      <c r="V88" s="334"/>
      <c r="W88" s="334"/>
      <c r="X88" s="334">
        <v>-689</v>
      </c>
      <c r="Y88" s="334"/>
      <c r="Z88" s="334"/>
      <c r="AA88" s="334"/>
      <c r="AB88" s="334"/>
      <c r="AC88" s="334">
        <v>-2430</v>
      </c>
      <c r="AD88" s="107"/>
      <c r="AE88" s="107"/>
      <c r="AF88" s="107"/>
      <c r="AG88" s="107"/>
      <c r="AH88" s="108"/>
      <c r="AI88" s="108"/>
      <c r="AJ88" s="108"/>
    </row>
    <row r="89" spans="2:36" x14ac:dyDescent="0.25">
      <c r="B89" t="s">
        <v>259</v>
      </c>
      <c r="I89" s="334"/>
      <c r="J89" s="334"/>
      <c r="K89" s="334"/>
      <c r="L89" s="334"/>
      <c r="M89" s="334"/>
      <c r="N89" s="334">
        <v>134</v>
      </c>
      <c r="O89" s="334"/>
      <c r="P89" s="334"/>
      <c r="Q89" s="334"/>
      <c r="R89" s="334"/>
      <c r="S89" s="334">
        <v>-210</v>
      </c>
      <c r="T89" s="334"/>
      <c r="U89" s="334"/>
      <c r="V89" s="334"/>
      <c r="W89" s="334"/>
      <c r="X89" s="334">
        <v>-337</v>
      </c>
      <c r="Y89" s="334"/>
      <c r="Z89" s="334"/>
      <c r="AA89" s="334"/>
      <c r="AB89" s="334"/>
      <c r="AC89" s="334">
        <v>152</v>
      </c>
      <c r="AD89" s="107"/>
      <c r="AE89" s="107"/>
      <c r="AF89" s="107"/>
      <c r="AG89" s="107"/>
      <c r="AH89" s="108"/>
      <c r="AI89" s="108"/>
      <c r="AJ89" s="108"/>
    </row>
    <row r="90" spans="2:36" x14ac:dyDescent="0.25">
      <c r="B90" t="s">
        <v>260</v>
      </c>
      <c r="I90" s="334"/>
      <c r="J90" s="334"/>
      <c r="K90" s="334"/>
      <c r="L90" s="334"/>
      <c r="M90" s="334"/>
      <c r="N90" s="334">
        <v>2525</v>
      </c>
      <c r="O90" s="334"/>
      <c r="P90" s="334"/>
      <c r="Q90" s="334"/>
      <c r="R90" s="334"/>
      <c r="S90" s="334">
        <v>2059</v>
      </c>
      <c r="T90" s="334"/>
      <c r="U90" s="334"/>
      <c r="V90" s="334"/>
      <c r="W90" s="334"/>
      <c r="X90" s="334">
        <v>2376</v>
      </c>
      <c r="Y90" s="334"/>
      <c r="Z90" s="334"/>
      <c r="AA90" s="334"/>
      <c r="AB90" s="334"/>
      <c r="AC90" s="334">
        <v>564</v>
      </c>
      <c r="AD90" s="107"/>
      <c r="AE90" s="107"/>
      <c r="AF90" s="107"/>
      <c r="AG90" s="107"/>
      <c r="AH90" s="108"/>
      <c r="AI90" s="108"/>
      <c r="AJ90" s="108"/>
    </row>
    <row r="91" spans="2:36" x14ac:dyDescent="0.25">
      <c r="B91" t="s">
        <v>261</v>
      </c>
      <c r="I91" s="334"/>
      <c r="J91" s="334"/>
      <c r="K91" s="334"/>
      <c r="L91" s="334"/>
      <c r="M91" s="334"/>
      <c r="N91" s="334">
        <v>5143</v>
      </c>
      <c r="O91" s="334"/>
      <c r="P91" s="334"/>
      <c r="Q91" s="334"/>
      <c r="R91" s="334"/>
      <c r="S91" s="334">
        <v>7668</v>
      </c>
      <c r="T91" s="334"/>
      <c r="U91" s="334"/>
      <c r="V91" s="334"/>
      <c r="W91" s="334"/>
      <c r="X91" s="334">
        <v>9727</v>
      </c>
      <c r="Y91" s="334"/>
      <c r="Z91" s="334"/>
      <c r="AA91" s="334"/>
      <c r="AB91" s="334"/>
      <c r="AC91" s="334">
        <v>12103</v>
      </c>
      <c r="AD91" s="107"/>
      <c r="AE91" s="107"/>
      <c r="AF91" s="107"/>
      <c r="AG91" s="107"/>
      <c r="AH91" s="108"/>
      <c r="AI91" s="108"/>
      <c r="AJ91" s="108"/>
    </row>
    <row r="92" spans="2:36" s="1" customFormat="1" x14ac:dyDescent="0.25">
      <c r="B92" s="1" t="s">
        <v>262</v>
      </c>
      <c r="I92" s="336"/>
      <c r="J92" s="336"/>
      <c r="K92" s="336"/>
      <c r="L92" s="336"/>
      <c r="M92" s="336"/>
      <c r="N92" s="336">
        <v>7668</v>
      </c>
      <c r="O92" s="336"/>
      <c r="P92" s="336"/>
      <c r="Q92" s="336"/>
      <c r="R92" s="336"/>
      <c r="S92" s="336">
        <v>9727</v>
      </c>
      <c r="T92" s="336"/>
      <c r="U92" s="336"/>
      <c r="V92" s="336"/>
      <c r="W92" s="336"/>
      <c r="X92" s="336">
        <v>12103</v>
      </c>
      <c r="Y92" s="336"/>
      <c r="Z92" s="336"/>
      <c r="AA92" s="336"/>
      <c r="AB92" s="336"/>
      <c r="AC92" s="336">
        <v>12667</v>
      </c>
      <c r="AD92" s="118"/>
      <c r="AE92" s="118"/>
      <c r="AF92" s="118"/>
      <c r="AG92" s="118"/>
      <c r="AH92" s="119"/>
      <c r="AI92" s="119"/>
      <c r="AJ92" s="119"/>
    </row>
    <row r="93" spans="2:36" x14ac:dyDescent="0.25"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7"/>
      <c r="AE93" s="107"/>
      <c r="AF93" s="107"/>
      <c r="AG93" s="107"/>
      <c r="AH93" s="108"/>
      <c r="AI93" s="108"/>
      <c r="AJ93" s="108"/>
    </row>
    <row r="94" spans="2:36" x14ac:dyDescent="0.25"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7"/>
      <c r="AE94" s="107"/>
      <c r="AF94" s="107"/>
      <c r="AG94" s="107"/>
      <c r="AH94" s="108"/>
      <c r="AI94" s="108"/>
      <c r="AJ94" s="108"/>
    </row>
    <row r="95" spans="2:36" x14ac:dyDescent="0.25"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7"/>
      <c r="AE95" s="107"/>
      <c r="AF95" s="107"/>
      <c r="AG95" s="107"/>
      <c r="AH95" s="108"/>
      <c r="AI95" s="108"/>
      <c r="AJ95" s="108"/>
    </row>
    <row r="96" spans="2:36" x14ac:dyDescent="0.25"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7"/>
      <c r="AE96" s="107"/>
      <c r="AF96" s="107"/>
      <c r="AG96" s="107"/>
      <c r="AH96" s="108"/>
      <c r="AI96" s="108"/>
      <c r="AJ96" s="108"/>
    </row>
    <row r="97" spans="9:36" x14ac:dyDescent="0.25"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7"/>
      <c r="AE97" s="107"/>
      <c r="AF97" s="107"/>
      <c r="AG97" s="107"/>
      <c r="AH97" s="108"/>
      <c r="AI97" s="108"/>
      <c r="AJ97" s="108"/>
    </row>
    <row r="98" spans="9:36" x14ac:dyDescent="0.25"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7"/>
      <c r="AE98" s="107"/>
      <c r="AF98" s="107"/>
      <c r="AG98" s="107"/>
      <c r="AH98" s="108"/>
      <c r="AI98" s="108"/>
      <c r="AJ98" s="108"/>
    </row>
    <row r="99" spans="9:36" x14ac:dyDescent="0.25"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7"/>
      <c r="AE99" s="107"/>
      <c r="AF99" s="107"/>
      <c r="AG99" s="107"/>
      <c r="AH99" s="108"/>
      <c r="AI99" s="108"/>
      <c r="AJ99" s="108"/>
    </row>
    <row r="100" spans="9:36" x14ac:dyDescent="0.25"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7"/>
      <c r="AE100" s="107"/>
      <c r="AF100" s="107"/>
      <c r="AG100" s="107"/>
      <c r="AH100" s="108"/>
      <c r="AI100" s="108"/>
      <c r="AJ100" s="108"/>
    </row>
    <row r="101" spans="9:36" x14ac:dyDescent="0.25"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7"/>
      <c r="AE101" s="107"/>
      <c r="AF101" s="107"/>
      <c r="AG101" s="107"/>
      <c r="AH101" s="108"/>
      <c r="AI101" s="108"/>
      <c r="AJ101" s="108"/>
    </row>
    <row r="102" spans="9:36" x14ac:dyDescent="0.25"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7"/>
      <c r="AE102" s="107"/>
      <c r="AF102" s="107"/>
      <c r="AG102" s="107"/>
      <c r="AH102" s="108"/>
      <c r="AI102" s="108"/>
      <c r="AJ102" s="108"/>
    </row>
    <row r="103" spans="9:36" x14ac:dyDescent="0.25"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7"/>
      <c r="AE103" s="107"/>
      <c r="AF103" s="107"/>
      <c r="AG103" s="107"/>
      <c r="AH103" s="108"/>
      <c r="AI103" s="108"/>
      <c r="AJ103" s="108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426D-E342-406E-B2E9-87B03AEAE814}">
  <sheetPr>
    <tabColor theme="9" tint="-0.249977111117893"/>
  </sheetPr>
  <dimension ref="A1:AQ147"/>
  <sheetViews>
    <sheetView tabSelected="1" zoomScale="80" zoomScaleNormal="80" workbookViewId="0">
      <pane xSplit="3" ySplit="4" topLeftCell="I5" activePane="bottomRight" state="frozen"/>
      <selection activeCell="B27" sqref="B27"/>
      <selection pane="topRight" activeCell="B27" sqref="B27"/>
      <selection pane="bottomLeft" activeCell="B27" sqref="B27"/>
      <selection pane="bottomRight" activeCell="AO58" sqref="AO58"/>
    </sheetView>
  </sheetViews>
  <sheetFormatPr defaultColWidth="8.85546875" defaultRowHeight="15" outlineLevelCol="1" x14ac:dyDescent="0.25"/>
  <cols>
    <col min="1" max="1" width="0.42578125" customWidth="1"/>
    <col min="2" max="2" width="105.42578125" bestFit="1" customWidth="1"/>
    <col min="3" max="3" width="1.140625" customWidth="1"/>
    <col min="4" max="4" width="1.7109375" hidden="1" customWidth="1" outlineLevel="1"/>
    <col min="5" max="6" width="11.42578125" hidden="1" customWidth="1" outlineLevel="1"/>
    <col min="7" max="7" width="12.42578125" hidden="1" customWidth="1" outlineLevel="1"/>
    <col min="8" max="8" width="12.28515625" hidden="1" customWidth="1" outlineLevel="1"/>
    <col min="9" max="9" width="12.42578125" style="159" customWidth="1" collapsed="1"/>
    <col min="10" max="13" width="12.140625" style="159" hidden="1" customWidth="1" outlineLevel="1"/>
    <col min="14" max="14" width="12.42578125" style="159" bestFit="1" customWidth="1" collapsed="1"/>
    <col min="15" max="18" width="12.140625" style="159" hidden="1" customWidth="1" outlineLevel="1"/>
    <col min="19" max="19" width="13.140625" style="159" bestFit="1" customWidth="1" collapsed="1"/>
    <col min="20" max="23" width="12.28515625" style="159" hidden="1" customWidth="1" outlineLevel="1"/>
    <col min="24" max="24" width="12.42578125" style="159" bestFit="1" customWidth="1" collapsed="1"/>
    <col min="25" max="28" width="12.28515625" style="159" hidden="1" customWidth="1" outlineLevel="1"/>
    <col min="29" max="29" width="12.42578125" style="159" bestFit="1" customWidth="1" collapsed="1"/>
    <col min="30" max="33" width="12.28515625" style="159" hidden="1" customWidth="1" outlineLevel="1"/>
    <col min="34" max="34" width="12.85546875" style="159" customWidth="1" collapsed="1"/>
    <col min="35" max="35" width="12.85546875" style="159" customWidth="1"/>
    <col min="36" max="36" width="14.140625" style="159" customWidth="1"/>
  </cols>
  <sheetData>
    <row r="1" spans="1:43" s="1" customFormat="1" x14ac:dyDescent="0.25">
      <c r="B1" s="91" t="s">
        <v>225</v>
      </c>
      <c r="C1" s="92"/>
      <c r="E1" s="93"/>
      <c r="F1" s="93"/>
      <c r="G1" s="93"/>
      <c r="H1" s="93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/>
      <c r="AL1"/>
      <c r="AM1"/>
      <c r="AN1"/>
      <c r="AO1"/>
      <c r="AP1"/>
      <c r="AQ1"/>
    </row>
    <row r="2" spans="1:43" x14ac:dyDescent="0.25">
      <c r="B2" s="1" t="s">
        <v>70</v>
      </c>
      <c r="C2" s="1"/>
      <c r="D2" s="95"/>
      <c r="E2" s="122" t="s">
        <v>71</v>
      </c>
      <c r="F2" s="122" t="s">
        <v>72</v>
      </c>
      <c r="G2" s="122" t="s">
        <v>73</v>
      </c>
      <c r="H2" s="122" t="s">
        <v>74</v>
      </c>
      <c r="I2" s="122">
        <v>2019</v>
      </c>
      <c r="J2" s="122" t="s">
        <v>75</v>
      </c>
      <c r="K2" s="122" t="s">
        <v>76</v>
      </c>
      <c r="L2" s="122" t="s">
        <v>77</v>
      </c>
      <c r="M2" s="122" t="s">
        <v>78</v>
      </c>
      <c r="N2" s="122">
        <v>2020</v>
      </c>
      <c r="O2" s="122" t="s">
        <v>79</v>
      </c>
      <c r="P2" s="122" t="s">
        <v>80</v>
      </c>
      <c r="Q2" s="122" t="s">
        <v>81</v>
      </c>
      <c r="R2" s="122" t="s">
        <v>82</v>
      </c>
      <c r="S2" s="122">
        <v>2021</v>
      </c>
      <c r="T2" s="122" t="s">
        <v>83</v>
      </c>
      <c r="U2" s="122" t="s">
        <v>84</v>
      </c>
      <c r="V2" s="122" t="s">
        <v>85</v>
      </c>
      <c r="W2" s="122" t="s">
        <v>86</v>
      </c>
      <c r="X2" s="122">
        <v>2022</v>
      </c>
      <c r="Y2" s="122" t="s">
        <v>87</v>
      </c>
      <c r="Z2" s="122" t="s">
        <v>88</v>
      </c>
      <c r="AA2" s="122" t="s">
        <v>89</v>
      </c>
      <c r="AB2" s="122" t="s">
        <v>90</v>
      </c>
      <c r="AC2" s="122">
        <v>2023</v>
      </c>
      <c r="AD2" s="122" t="s">
        <v>91</v>
      </c>
      <c r="AE2" s="122" t="s">
        <v>92</v>
      </c>
      <c r="AF2" s="122" t="s">
        <v>93</v>
      </c>
      <c r="AG2" s="122" t="s">
        <v>94</v>
      </c>
      <c r="AH2" s="122" t="s">
        <v>95</v>
      </c>
      <c r="AI2" s="122" t="s">
        <v>96</v>
      </c>
      <c r="AJ2" s="122" t="s">
        <v>97</v>
      </c>
    </row>
    <row r="3" spans="1:43" x14ac:dyDescent="0.25">
      <c r="A3" s="97"/>
      <c r="B3" s="98" t="s">
        <v>98</v>
      </c>
      <c r="C3" s="98"/>
      <c r="D3" s="99"/>
      <c r="E3" s="99">
        <v>43555</v>
      </c>
      <c r="F3" s="99">
        <f>EOMONTH(E3,3)</f>
        <v>43646</v>
      </c>
      <c r="G3" s="99">
        <f>EOMONTH(F3,3)</f>
        <v>43738</v>
      </c>
      <c r="H3" s="99">
        <f>EOMONTH(G3,3)</f>
        <v>43830</v>
      </c>
      <c r="I3" s="123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5"/>
      <c r="W3" s="125"/>
      <c r="X3" s="125"/>
      <c r="Y3" s="124"/>
      <c r="Z3" s="124"/>
      <c r="AA3" s="125"/>
      <c r="AB3" s="125"/>
      <c r="AC3" s="125"/>
      <c r="AD3" s="124"/>
      <c r="AE3" s="124"/>
      <c r="AF3" s="125"/>
      <c r="AG3" s="125"/>
      <c r="AH3" s="126"/>
      <c r="AI3" s="126"/>
      <c r="AJ3" s="126"/>
    </row>
    <row r="4" spans="1:43" x14ac:dyDescent="0.25">
      <c r="B4" s="106" t="s">
        <v>99</v>
      </c>
      <c r="C4" s="106"/>
      <c r="E4" s="107">
        <v>90</v>
      </c>
      <c r="F4" s="107">
        <f>+F3-E3</f>
        <v>91</v>
      </c>
      <c r="G4" s="107">
        <f>+G3-F3</f>
        <v>92</v>
      </c>
      <c r="H4" s="107">
        <f>+H3-G3</f>
        <v>92</v>
      </c>
      <c r="I4" s="127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9"/>
      <c r="W4" s="129"/>
      <c r="X4" s="129"/>
      <c r="Y4" s="128"/>
      <c r="Z4" s="128"/>
      <c r="AA4" s="129"/>
      <c r="AB4" s="129"/>
      <c r="AC4" s="129"/>
      <c r="AD4" s="128"/>
      <c r="AE4" s="128"/>
      <c r="AF4" s="129"/>
      <c r="AG4" s="129"/>
      <c r="AH4" s="130"/>
      <c r="AI4" s="130"/>
      <c r="AJ4" s="130"/>
    </row>
    <row r="5" spans="1:43" x14ac:dyDescent="0.25">
      <c r="A5" s="114"/>
      <c r="B5" s="114" t="s">
        <v>100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</row>
    <row r="6" spans="1:43" x14ac:dyDescent="0.25">
      <c r="B6" t="s">
        <v>3</v>
      </c>
      <c r="C6" s="106"/>
      <c r="E6" s="107"/>
      <c r="F6" s="107"/>
      <c r="G6" s="107"/>
      <c r="H6" s="107"/>
      <c r="I6" s="127"/>
      <c r="J6" s="128"/>
      <c r="K6" s="128"/>
      <c r="L6" s="128"/>
      <c r="M6" s="128"/>
      <c r="N6" s="127">
        <f>'Raw Input'!N6</f>
        <v>1772.7</v>
      </c>
      <c r="O6" s="128"/>
      <c r="P6" s="128"/>
      <c r="Q6" s="128"/>
      <c r="R6" s="128"/>
      <c r="S6" s="127">
        <f>'Raw Input'!S6</f>
        <v>3201.1</v>
      </c>
      <c r="T6" s="128">
        <f>'Raw Input'!T6</f>
        <v>822</v>
      </c>
      <c r="U6" s="128">
        <f>'Raw Input'!U6</f>
        <v>1098</v>
      </c>
      <c r="V6" s="128">
        <f>'Raw Input'!V6</f>
        <v>1326</v>
      </c>
      <c r="W6" s="128">
        <f>'Raw Input'!W6</f>
        <v>964</v>
      </c>
      <c r="X6" s="127">
        <f>'Raw Input'!X6</f>
        <v>4210</v>
      </c>
      <c r="Y6" s="128">
        <f>'Raw Input'!Y6</f>
        <v>925</v>
      </c>
      <c r="Z6" s="128">
        <f>'Raw Input'!Z6</f>
        <v>1192</v>
      </c>
      <c r="AA6" s="128">
        <f>'Raw Input'!AA6</f>
        <v>1478</v>
      </c>
      <c r="AB6" s="128">
        <f>'Raw Input'!AB6</f>
        <v>1043</v>
      </c>
      <c r="AC6" s="127">
        <f>'Raw Input'!AC6</f>
        <v>4638</v>
      </c>
      <c r="AD6" s="128">
        <f>'Raw Input'!AD6</f>
        <v>1015</v>
      </c>
      <c r="AE6" s="128">
        <v>1308</v>
      </c>
      <c r="AF6" s="128">
        <f>AA6*(1+AF7)</f>
        <v>1581.46</v>
      </c>
      <c r="AG6" s="128">
        <f>AB6*(1+AG7)</f>
        <v>1105.5800000000002</v>
      </c>
      <c r="AH6" s="389">
        <f>SUM(AD6:AG6)</f>
        <v>5010.04</v>
      </c>
      <c r="AI6" s="130"/>
      <c r="AJ6" s="130"/>
    </row>
    <row r="7" spans="1:43" x14ac:dyDescent="0.25">
      <c r="B7" s="131" t="s">
        <v>118</v>
      </c>
      <c r="C7" s="106"/>
      <c r="E7" s="107"/>
      <c r="F7" s="107"/>
      <c r="G7" s="107"/>
      <c r="H7" s="107"/>
      <c r="I7" s="132"/>
      <c r="J7" s="133"/>
      <c r="K7" s="133"/>
      <c r="L7" s="133"/>
      <c r="M7" s="133"/>
      <c r="N7" s="134"/>
      <c r="O7" s="134"/>
      <c r="P7" s="134"/>
      <c r="Q7" s="134"/>
      <c r="R7" s="134"/>
      <c r="S7" s="134">
        <f>S6/N6-1</f>
        <v>0.80577649912562754</v>
      </c>
      <c r="T7" s="134"/>
      <c r="U7" s="134"/>
      <c r="V7" s="134"/>
      <c r="W7" s="134"/>
      <c r="X7" s="134">
        <f>X6/S6-1</f>
        <v>0.31517290931242381</v>
      </c>
      <c r="Y7" s="134">
        <f>Y6/T6-1</f>
        <v>0.12530413625304138</v>
      </c>
      <c r="Z7" s="134">
        <f t="shared" ref="Z7:AB7" si="0">Z6/U6-1</f>
        <v>8.5610200364298672E-2</v>
      </c>
      <c r="AA7" s="134">
        <f t="shared" si="0"/>
        <v>0.11463046757164408</v>
      </c>
      <c r="AB7" s="134">
        <f t="shared" si="0"/>
        <v>8.1950207468879599E-2</v>
      </c>
      <c r="AC7" s="134">
        <f>AC6/X6-1</f>
        <v>0.10166270783847975</v>
      </c>
      <c r="AD7" s="134">
        <f>AD6/Y6-1</f>
        <v>9.7297297297297192E-2</v>
      </c>
      <c r="AE7" s="134">
        <f>AE6/Z6-1</f>
        <v>9.7315436241610653E-2</v>
      </c>
      <c r="AF7" s="134">
        <v>7.0000000000000007E-2</v>
      </c>
      <c r="AG7" s="134">
        <v>0.06</v>
      </c>
      <c r="AH7" s="134">
        <f>AH6/AC6-1</f>
        <v>8.0215610176800345E-2</v>
      </c>
      <c r="AI7" s="130"/>
      <c r="AJ7" s="130"/>
    </row>
    <row r="8" spans="1:43" x14ac:dyDescent="0.25">
      <c r="B8" t="s">
        <v>277</v>
      </c>
      <c r="C8" s="106"/>
      <c r="E8" s="107"/>
      <c r="F8" s="107"/>
      <c r="G8" s="107"/>
      <c r="H8" s="107"/>
      <c r="I8" s="127"/>
      <c r="J8" s="128"/>
      <c r="K8" s="128"/>
      <c r="L8" s="128"/>
      <c r="M8" s="128"/>
      <c r="N8" s="127">
        <f>'Raw Input'!N7</f>
        <v>1023.8</v>
      </c>
      <c r="O8" s="128"/>
      <c r="P8" s="128"/>
      <c r="Q8" s="128"/>
      <c r="R8" s="128"/>
      <c r="S8" s="127">
        <f>'Raw Input'!S7</f>
        <v>1930.8</v>
      </c>
      <c r="T8" s="128">
        <f>'Raw Input'!T7</f>
        <v>373</v>
      </c>
      <c r="U8" s="128">
        <f>'Raw Input'!U7</f>
        <v>732</v>
      </c>
      <c r="V8" s="128">
        <f>'Raw Input'!V7</f>
        <v>1263</v>
      </c>
      <c r="W8" s="128">
        <f>'Raw Input'!W7</f>
        <v>556</v>
      </c>
      <c r="X8" s="127">
        <f>'Raw Input'!X7</f>
        <v>2924</v>
      </c>
      <c r="Y8" s="128">
        <f>'Raw Input'!Y7</f>
        <v>458</v>
      </c>
      <c r="Z8" s="128">
        <f>'Raw Input'!Z7</f>
        <v>941</v>
      </c>
      <c r="AA8" s="128">
        <f>'Raw Input'!AA7</f>
        <v>1533</v>
      </c>
      <c r="AB8" s="128">
        <f>'Raw Input'!AB7</f>
        <v>683</v>
      </c>
      <c r="AC8" s="127">
        <f>'Raw Input'!AC7</f>
        <v>3615</v>
      </c>
      <c r="AD8" s="128">
        <f>'Raw Input'!AD7</f>
        <v>567</v>
      </c>
      <c r="AE8" s="128">
        <v>1048</v>
      </c>
      <c r="AF8" s="128">
        <f>AA8*(1+AF9)</f>
        <v>1762.9499999999998</v>
      </c>
      <c r="AG8" s="128">
        <f>AB8*(1+AG9)</f>
        <v>785.44999999999993</v>
      </c>
      <c r="AH8" s="389">
        <f>SUM(AD8:AG8)</f>
        <v>4163.3999999999996</v>
      </c>
      <c r="AI8" s="130"/>
      <c r="AJ8" s="130"/>
    </row>
    <row r="9" spans="1:43" x14ac:dyDescent="0.25">
      <c r="B9" s="131" t="s">
        <v>118</v>
      </c>
      <c r="C9" s="106"/>
      <c r="E9" s="107"/>
      <c r="F9" s="107"/>
      <c r="G9" s="107"/>
      <c r="H9" s="107"/>
      <c r="I9" s="132"/>
      <c r="J9" s="133"/>
      <c r="K9" s="133"/>
      <c r="L9" s="133"/>
      <c r="M9" s="133"/>
      <c r="N9" s="134"/>
      <c r="O9" s="134"/>
      <c r="P9" s="134"/>
      <c r="Q9" s="134"/>
      <c r="R9" s="134"/>
      <c r="S9" s="134">
        <f>S8/N8-1</f>
        <v>0.88591521781597971</v>
      </c>
      <c r="T9" s="134"/>
      <c r="U9" s="134"/>
      <c r="V9" s="134"/>
      <c r="W9" s="134"/>
      <c r="X9" s="134">
        <f>X8/S8-1</f>
        <v>0.51439817692148337</v>
      </c>
      <c r="Y9" s="134">
        <f>Y8/T8-1</f>
        <v>0.22788203753351199</v>
      </c>
      <c r="Z9" s="134">
        <f t="shared" ref="Z9" si="1">Z8/U8-1</f>
        <v>0.28551912568306004</v>
      </c>
      <c r="AA9" s="134">
        <f t="shared" ref="AA9" si="2">AA8/V8-1</f>
        <v>0.21377672209026133</v>
      </c>
      <c r="AB9" s="134">
        <f t="shared" ref="AB9" si="3">AB8/W8-1</f>
        <v>0.22841726618705027</v>
      </c>
      <c r="AC9" s="134">
        <f>AC8/X8-1</f>
        <v>0.23632010943912451</v>
      </c>
      <c r="AD9" s="134">
        <f>AD8/Y8-1</f>
        <v>0.23799126637554591</v>
      </c>
      <c r="AE9" s="134">
        <f>AE8/Z8-1</f>
        <v>0.11370882040382568</v>
      </c>
      <c r="AF9" s="134">
        <v>0.15</v>
      </c>
      <c r="AG9" s="134">
        <v>0.15</v>
      </c>
      <c r="AH9" s="134">
        <f>AH8/AC8-1</f>
        <v>0.15170124481327796</v>
      </c>
      <c r="AI9" s="130"/>
      <c r="AJ9" s="130"/>
    </row>
    <row r="10" spans="1:43" s="1" customFormat="1" x14ac:dyDescent="0.25">
      <c r="B10" t="s">
        <v>5</v>
      </c>
      <c r="I10" s="127"/>
      <c r="J10" s="127"/>
      <c r="K10" s="127"/>
      <c r="L10" s="127"/>
      <c r="M10" s="127"/>
      <c r="N10" s="127">
        <f>'Raw Input'!N8</f>
        <v>242</v>
      </c>
      <c r="O10" s="127"/>
      <c r="P10" s="127"/>
      <c r="Q10" s="127"/>
      <c r="R10" s="127"/>
      <c r="S10" s="127">
        <f>'Raw Input'!S8</f>
        <v>431.2</v>
      </c>
      <c r="T10" s="127">
        <f>'Raw Input'!T8</f>
        <v>178</v>
      </c>
      <c r="U10" s="127">
        <f>'Raw Input'!U8</f>
        <v>137</v>
      </c>
      <c r="V10" s="127">
        <f>'Raw Input'!V8</f>
        <v>139</v>
      </c>
      <c r="W10" s="127">
        <f>'Raw Input'!W8</f>
        <v>189</v>
      </c>
      <c r="X10" s="127">
        <f>'Raw Input'!X8</f>
        <v>643</v>
      </c>
      <c r="Y10" s="127">
        <f>'Raw Input'!Y8</f>
        <v>235</v>
      </c>
      <c r="Z10" s="127">
        <f>'Raw Input'!Z8</f>
        <v>163</v>
      </c>
      <c r="AA10" s="127">
        <f>'Raw Input'!AA8</f>
        <v>178</v>
      </c>
      <c r="AB10" s="127">
        <f>'Raw Input'!AB8</f>
        <v>248</v>
      </c>
      <c r="AC10" s="127">
        <f>'Raw Input'!AC8</f>
        <v>824</v>
      </c>
      <c r="AD10" s="127">
        <f>'Raw Input'!AD8</f>
        <v>307</v>
      </c>
      <c r="AE10" s="128">
        <v>185</v>
      </c>
      <c r="AF10" s="128">
        <f>AA10*(1+AF11)</f>
        <v>222.5</v>
      </c>
      <c r="AG10" s="128">
        <f>AB10*(1+AG11)</f>
        <v>317.44</v>
      </c>
      <c r="AH10" s="389">
        <f>SUM(AD10:AG10)</f>
        <v>1031.94</v>
      </c>
      <c r="AI10" s="127"/>
      <c r="AJ10" s="127"/>
    </row>
    <row r="11" spans="1:43" s="1" customFormat="1" x14ac:dyDescent="0.25">
      <c r="B11" s="131" t="s">
        <v>118</v>
      </c>
      <c r="C11" s="117"/>
      <c r="E11" s="118"/>
      <c r="F11" s="118"/>
      <c r="G11" s="118"/>
      <c r="H11" s="118"/>
      <c r="I11" s="132"/>
      <c r="J11" s="133"/>
      <c r="K11" s="133"/>
      <c r="L11" s="133"/>
      <c r="M11" s="133"/>
      <c r="N11" s="134"/>
      <c r="O11" s="134"/>
      <c r="P11" s="134"/>
      <c r="Q11" s="134"/>
      <c r="R11" s="134"/>
      <c r="S11" s="134">
        <f>S10/N10-1</f>
        <v>0.78181818181818175</v>
      </c>
      <c r="T11" s="134"/>
      <c r="U11" s="134"/>
      <c r="V11" s="134"/>
      <c r="W11" s="134"/>
      <c r="X11" s="134">
        <f>X10/S10-1</f>
        <v>0.49118738404452689</v>
      </c>
      <c r="Y11" s="134">
        <f>Y10/T10-1</f>
        <v>0.3202247191011236</v>
      </c>
      <c r="Z11" s="134">
        <f t="shared" ref="Z11" si="4">Z10/U10-1</f>
        <v>0.18978102189781021</v>
      </c>
      <c r="AA11" s="134">
        <f t="shared" ref="AA11" si="5">AA10/V10-1</f>
        <v>0.28057553956834536</v>
      </c>
      <c r="AB11" s="134">
        <f t="shared" ref="AB11" si="6">AB10/W10-1</f>
        <v>0.3121693121693121</v>
      </c>
      <c r="AC11" s="134">
        <f>AC10/X10-1</f>
        <v>0.28149300155520995</v>
      </c>
      <c r="AD11" s="134">
        <f>AD10/Y10-1</f>
        <v>0.30638297872340425</v>
      </c>
      <c r="AE11" s="134">
        <f>AE10/Z10-1</f>
        <v>0.13496932515337434</v>
      </c>
      <c r="AF11" s="134">
        <v>0.25</v>
      </c>
      <c r="AG11" s="134">
        <v>0.28000000000000003</v>
      </c>
      <c r="AH11" s="134">
        <f>AH10/AC10-1</f>
        <v>0.25235436893203889</v>
      </c>
      <c r="AI11" s="142"/>
      <c r="AJ11" s="142"/>
    </row>
    <row r="12" spans="1:43" s="1" customFormat="1" x14ac:dyDescent="0.25">
      <c r="B12" t="s">
        <v>6</v>
      </c>
      <c r="C12" s="117"/>
      <c r="E12" s="118"/>
      <c r="F12" s="118"/>
      <c r="G12" s="118"/>
      <c r="H12" s="118"/>
      <c r="I12" s="127"/>
      <c r="J12" s="127"/>
      <c r="K12" s="127"/>
      <c r="L12" s="127"/>
      <c r="M12" s="127"/>
      <c r="N12" s="127">
        <f>'Raw Input'!N9</f>
        <v>339.7</v>
      </c>
      <c r="O12" s="127"/>
      <c r="P12" s="127"/>
      <c r="Q12" s="127"/>
      <c r="R12" s="127"/>
      <c r="S12" s="127">
        <f>'Raw Input'!S9</f>
        <v>428.7</v>
      </c>
      <c r="T12" s="127">
        <f>'Raw Input'!T9</f>
        <v>136</v>
      </c>
      <c r="U12" s="127">
        <f>'Raw Input'!U9</f>
        <v>137</v>
      </c>
      <c r="V12" s="127">
        <f>'Raw Input'!V9</f>
        <v>156</v>
      </c>
      <c r="W12" s="127">
        <f>'Raw Input'!W9</f>
        <v>193</v>
      </c>
      <c r="X12" s="127">
        <f>'Raw Input'!X9</f>
        <v>622</v>
      </c>
      <c r="Y12" s="127">
        <f>'Raw Input'!Y9</f>
        <v>200</v>
      </c>
      <c r="Z12" s="127">
        <f>'Raw Input'!Z9</f>
        <v>188</v>
      </c>
      <c r="AA12" s="127">
        <f>'Raw Input'!AA9</f>
        <v>208</v>
      </c>
      <c r="AB12" s="127">
        <f>'Raw Input'!AB9</f>
        <v>244</v>
      </c>
      <c r="AC12" s="127">
        <f>'Raw Input'!AC9</f>
        <v>840</v>
      </c>
      <c r="AD12" s="127">
        <f>'Raw Input'!AD9</f>
        <v>253</v>
      </c>
      <c r="AE12" s="128">
        <v>207</v>
      </c>
      <c r="AF12" s="128">
        <f>AA12*(1+AF13)</f>
        <v>228.8</v>
      </c>
      <c r="AG12" s="128">
        <f>AB12*(1+AG13)</f>
        <v>263.52000000000004</v>
      </c>
      <c r="AH12" s="389">
        <f>SUM(AD12:AG12)</f>
        <v>952.31999999999994</v>
      </c>
      <c r="AI12" s="127"/>
      <c r="AJ12" s="127"/>
    </row>
    <row r="13" spans="1:43" s="1" customFormat="1" x14ac:dyDescent="0.25">
      <c r="B13" s="131" t="s">
        <v>118</v>
      </c>
      <c r="C13" s="117"/>
      <c r="E13" s="118"/>
      <c r="F13" s="118"/>
      <c r="G13" s="118"/>
      <c r="H13" s="118"/>
      <c r="I13" s="132"/>
      <c r="J13" s="132"/>
      <c r="K13" s="132"/>
      <c r="L13" s="132"/>
      <c r="M13" s="132"/>
      <c r="N13" s="143"/>
      <c r="O13" s="143"/>
      <c r="P13" s="143"/>
      <c r="Q13" s="143"/>
      <c r="R13" s="143"/>
      <c r="S13" s="134">
        <f>S12/N12-1</f>
        <v>0.26199587871651464</v>
      </c>
      <c r="T13" s="143"/>
      <c r="U13" s="143"/>
      <c r="V13" s="143"/>
      <c r="W13" s="143"/>
      <c r="X13" s="134">
        <f>X12/S12-1</f>
        <v>0.4508980639141591</v>
      </c>
      <c r="Y13" s="134">
        <f>Y12/T12-1</f>
        <v>0.47058823529411775</v>
      </c>
      <c r="Z13" s="134">
        <f t="shared" ref="Z13" si="7">Z12/U12-1</f>
        <v>0.37226277372262784</v>
      </c>
      <c r="AA13" s="134">
        <f>AA12/V12-1</f>
        <v>0.33333333333333326</v>
      </c>
      <c r="AB13" s="134">
        <f t="shared" ref="AB13" si="8">AB12/W12-1</f>
        <v>0.26424870466321249</v>
      </c>
      <c r="AC13" s="134">
        <f>AC12/X12-1</f>
        <v>0.35048231511254024</v>
      </c>
      <c r="AD13" s="134">
        <f>AD12/Y12-1</f>
        <v>0.2649999999999999</v>
      </c>
      <c r="AE13" s="134">
        <f>AE12/Z12-1</f>
        <v>0.10106382978723394</v>
      </c>
      <c r="AF13" s="143">
        <v>0.1</v>
      </c>
      <c r="AG13" s="143">
        <v>0.08</v>
      </c>
      <c r="AH13" s="134">
        <f>AH12/AC12-1</f>
        <v>0.13371428571428567</v>
      </c>
      <c r="AI13" s="142"/>
      <c r="AJ13" s="142"/>
    </row>
    <row r="14" spans="1:43" s="1" customFormat="1" x14ac:dyDescent="0.25">
      <c r="B14" s="135" t="s">
        <v>101</v>
      </c>
      <c r="C14" s="136"/>
      <c r="D14" s="135"/>
      <c r="E14" s="137"/>
      <c r="F14" s="137"/>
      <c r="G14" s="137"/>
      <c r="H14" s="137"/>
      <c r="I14" s="138">
        <f>'Raw Input'!I10</f>
        <v>4805.2389999999996</v>
      </c>
      <c r="J14" s="139">
        <f>'Raw Input'!J10</f>
        <v>841.83</v>
      </c>
      <c r="K14" s="139">
        <f>'Raw Input'!K10</f>
        <v>334.774</v>
      </c>
      <c r="L14" s="139">
        <f>'Raw Input'!L10</f>
        <v>1342.3309999999999</v>
      </c>
      <c r="M14" s="139">
        <f>'Raw Input'!M10</f>
        <v>859.26400000000001</v>
      </c>
      <c r="N14" s="138">
        <f>'Raw Input'!N10</f>
        <v>3378.1990000000001</v>
      </c>
      <c r="O14" s="139">
        <f>'Raw Input'!O10</f>
        <v>886.93600000000004</v>
      </c>
      <c r="P14" s="139">
        <f>'Raw Input'!P10</f>
        <v>1335.1959999999999</v>
      </c>
      <c r="Q14" s="139">
        <f>'Raw Input'!Q10</f>
        <v>2237.4319999999998</v>
      </c>
      <c r="R14" s="139">
        <f>'Raw Input'!R10</f>
        <v>1532.1960000000004</v>
      </c>
      <c r="S14" s="138">
        <f>'Raw Input'!S10</f>
        <v>5991.76</v>
      </c>
      <c r="T14" s="139">
        <f>'Raw Input'!T10</f>
        <v>1508.9369999999999</v>
      </c>
      <c r="U14" s="139">
        <f>'Raw Input'!U10</f>
        <v>2104.107</v>
      </c>
      <c r="V14" s="139">
        <f>'Raw Input'!V10</f>
        <v>2884.41</v>
      </c>
      <c r="W14" s="139">
        <f>'Raw Input'!W10</f>
        <v>1901.5460000000003</v>
      </c>
      <c r="X14" s="138">
        <f>'Raw Input'!X10</f>
        <v>8399</v>
      </c>
      <c r="Y14" s="139">
        <f>'Raw Input'!Y10</f>
        <v>1818</v>
      </c>
      <c r="Z14" s="139">
        <f>'Raw Input'!Z10</f>
        <v>2484</v>
      </c>
      <c r="AA14" s="139">
        <f>'Raw Input'!AA10</f>
        <v>3397</v>
      </c>
      <c r="AB14" s="139">
        <f>'Raw Input'!AB10</f>
        <v>2218</v>
      </c>
      <c r="AC14" s="138">
        <f>'Raw Input'!AC10</f>
        <v>9917</v>
      </c>
      <c r="AD14" s="139">
        <f>'Raw Input'!AD10</f>
        <v>2142</v>
      </c>
      <c r="AE14" s="139">
        <f>AE12+AE10+AE8+AE6</f>
        <v>2748</v>
      </c>
      <c r="AF14" s="139">
        <f>AF12+AF10+AF8+AF6</f>
        <v>3795.71</v>
      </c>
      <c r="AG14" s="139">
        <f>AG12+AG10+AG8+AG6</f>
        <v>2471.9899999999998</v>
      </c>
      <c r="AH14" s="141">
        <f>SUM(AD14:AG14)</f>
        <v>11157.699999999999</v>
      </c>
      <c r="AI14" s="141">
        <f>AH14*(1+AI15)</f>
        <v>12608.200999999997</v>
      </c>
      <c r="AJ14" s="141">
        <f>AI14*(1+AJ15)</f>
        <v>14247.267129999995</v>
      </c>
    </row>
    <row r="15" spans="1:43" s="1" customFormat="1" x14ac:dyDescent="0.25">
      <c r="B15" s="131" t="s">
        <v>118</v>
      </c>
      <c r="C15" s="117"/>
      <c r="E15" s="118"/>
      <c r="F15" s="118"/>
      <c r="G15" s="118"/>
      <c r="H15" s="118"/>
      <c r="I15" s="145"/>
      <c r="J15" s="146"/>
      <c r="K15" s="146"/>
      <c r="L15" s="146"/>
      <c r="M15" s="146"/>
      <c r="N15" s="134">
        <f t="shared" ref="N15:Y15" si="9">N14/I14-1</f>
        <v>-0.29697586321929037</v>
      </c>
      <c r="O15" s="134">
        <f t="shared" si="9"/>
        <v>5.3580889253174613E-2</v>
      </c>
      <c r="P15" s="134">
        <f t="shared" si="9"/>
        <v>2.9883503497882149</v>
      </c>
      <c r="Q15" s="134">
        <f t="shared" si="9"/>
        <v>0.66682584250829335</v>
      </c>
      <c r="R15" s="134">
        <f t="shared" si="9"/>
        <v>0.78314929986593218</v>
      </c>
      <c r="S15" s="134">
        <f t="shared" si="9"/>
        <v>0.77365513399299446</v>
      </c>
      <c r="T15" s="134">
        <f t="shared" si="9"/>
        <v>0.7012918632235019</v>
      </c>
      <c r="U15" s="134">
        <f t="shared" si="9"/>
        <v>0.57587874738989631</v>
      </c>
      <c r="V15" s="134">
        <f t="shared" si="9"/>
        <v>0.28916096667965774</v>
      </c>
      <c r="W15" s="134">
        <f t="shared" si="9"/>
        <v>0.24105923785207617</v>
      </c>
      <c r="X15" s="134">
        <f t="shared" si="9"/>
        <v>0.40175841488978192</v>
      </c>
      <c r="Y15" s="134">
        <f t="shared" si="9"/>
        <v>0.20482167247539174</v>
      </c>
      <c r="Z15" s="134">
        <f t="shared" ref="Z15:AB15" si="10">Z14/U14-1</f>
        <v>0.18054832762782502</v>
      </c>
      <c r="AA15" s="134">
        <f>AA14/V14-1</f>
        <v>0.17771051965566631</v>
      </c>
      <c r="AB15" s="134">
        <f t="shared" si="10"/>
        <v>0.1664193240657863</v>
      </c>
      <c r="AC15" s="134">
        <f>AC14/X14-1</f>
        <v>0.18073580188117644</v>
      </c>
      <c r="AD15" s="134">
        <f>AD14/Y14-1</f>
        <v>0.17821782178217815</v>
      </c>
      <c r="AE15" s="134">
        <f>AE14/Z14-1</f>
        <v>0.106280193236715</v>
      </c>
      <c r="AF15" s="134">
        <f t="shared" ref="AF15:AG15" si="11">AF14/AA14-1</f>
        <v>0.11737120989108041</v>
      </c>
      <c r="AG15" s="134">
        <f t="shared" si="11"/>
        <v>0.11451307484220008</v>
      </c>
      <c r="AH15" s="134">
        <f>AH14/AC14-1</f>
        <v>0.12510839971765653</v>
      </c>
      <c r="AI15" s="134">
        <v>0.13</v>
      </c>
      <c r="AJ15" s="134">
        <v>0.13</v>
      </c>
    </row>
    <row r="16" spans="1:43" s="1" customFormat="1" x14ac:dyDescent="0.25">
      <c r="B16" s="131" t="s">
        <v>281</v>
      </c>
      <c r="C16" s="117"/>
      <c r="E16" s="118"/>
      <c r="F16" s="118"/>
      <c r="G16" s="118"/>
      <c r="H16" s="118"/>
      <c r="I16" s="146"/>
      <c r="J16" s="144"/>
      <c r="K16" s="144"/>
      <c r="L16" s="144"/>
      <c r="M16" s="144"/>
      <c r="N16" s="144"/>
      <c r="O16" s="146">
        <f>O14/$S$14</f>
        <v>0.14802595564575349</v>
      </c>
      <c r="P16" s="146">
        <f t="shared" ref="P16:R16" si="12">P14/$S$14</f>
        <v>0.22283869847924481</v>
      </c>
      <c r="Q16" s="146">
        <f t="shared" si="12"/>
        <v>0.37341816094102565</v>
      </c>
      <c r="R16" s="146">
        <f t="shared" si="12"/>
        <v>0.25571718493397605</v>
      </c>
      <c r="S16" s="144"/>
      <c r="T16" s="146">
        <f>T14/$X$14</f>
        <v>0.17965674485057745</v>
      </c>
      <c r="U16" s="146">
        <f t="shared" ref="U16:W16" si="13">U14/$X$14</f>
        <v>0.2505187522324086</v>
      </c>
      <c r="V16" s="146">
        <f t="shared" si="13"/>
        <v>0.34342302655077983</v>
      </c>
      <c r="W16" s="146">
        <f t="shared" si="13"/>
        <v>0.22640147636623412</v>
      </c>
      <c r="X16" s="144"/>
      <c r="Y16" s="146">
        <f>Y14/$AC$14</f>
        <v>0.18332156902288999</v>
      </c>
      <c r="Z16" s="146">
        <f t="shared" ref="Z16:AB16" si="14">Z14/$AC$14</f>
        <v>0.25047897549662196</v>
      </c>
      <c r="AA16" s="146">
        <f t="shared" si="14"/>
        <v>0.34254310779469599</v>
      </c>
      <c r="AB16" s="146">
        <f t="shared" si="14"/>
        <v>0.22365634768579207</v>
      </c>
      <c r="AC16" s="144"/>
      <c r="AD16" s="379">
        <f>AD14/AH14</f>
        <v>0.19197504862113163</v>
      </c>
      <c r="AE16" s="379">
        <v>0.25</v>
      </c>
      <c r="AF16" s="379">
        <v>0.35</v>
      </c>
      <c r="AG16" s="379">
        <v>0.193</v>
      </c>
      <c r="AH16" s="130"/>
      <c r="AI16" s="130"/>
      <c r="AJ16" s="130"/>
    </row>
    <row r="17" spans="2:36" x14ac:dyDescent="0.25">
      <c r="B17" s="158" t="s">
        <v>129</v>
      </c>
      <c r="C17" s="106"/>
      <c r="E17" s="107"/>
      <c r="F17" s="107"/>
      <c r="G17" s="107"/>
      <c r="H17" s="107"/>
      <c r="I17" s="144"/>
      <c r="J17" s="144"/>
      <c r="K17" s="144"/>
      <c r="L17" s="144"/>
      <c r="M17" s="144"/>
      <c r="N17" s="376"/>
      <c r="O17" s="376"/>
      <c r="P17" s="376"/>
      <c r="Q17" s="376"/>
      <c r="R17" s="376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393">
        <v>11181</v>
      </c>
      <c r="AI17" s="393">
        <v>12486</v>
      </c>
      <c r="AJ17" s="393">
        <v>13866</v>
      </c>
    </row>
    <row r="18" spans="2:36" s="1" customFormat="1" x14ac:dyDescent="0.25">
      <c r="C18" s="117"/>
      <c r="E18" s="118"/>
      <c r="F18" s="118"/>
      <c r="G18" s="118"/>
      <c r="H18" s="118"/>
      <c r="I18" s="146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30"/>
      <c r="AI18" s="130"/>
      <c r="AJ18" s="130"/>
    </row>
    <row r="19" spans="2:36" x14ac:dyDescent="0.25">
      <c r="B19" s="147" t="s">
        <v>119</v>
      </c>
      <c r="C19" s="106"/>
      <c r="E19" s="107"/>
      <c r="F19" s="107"/>
      <c r="G19" s="107"/>
      <c r="H19" s="107"/>
      <c r="I19" s="132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0"/>
      <c r="AI19" s="130"/>
      <c r="AJ19" s="130"/>
    </row>
    <row r="20" spans="2:36" x14ac:dyDescent="0.25">
      <c r="B20" t="s">
        <v>227</v>
      </c>
      <c r="C20" s="106"/>
      <c r="E20" s="107"/>
      <c r="F20" s="107"/>
      <c r="G20" s="107"/>
      <c r="H20" s="107"/>
      <c r="I20" s="127">
        <f>'Raw Input'!I13</f>
        <v>1196.3130000000001</v>
      </c>
      <c r="J20" s="127">
        <f>'Raw Input'!J13</f>
        <v>277.77199999999999</v>
      </c>
      <c r="K20" s="127">
        <f>'Raw Input'!K13</f>
        <v>161.19800000000001</v>
      </c>
      <c r="L20" s="127">
        <f>'Raw Input'!L13</f>
        <v>227.32499999999999</v>
      </c>
      <c r="M20" s="127">
        <f>'Raw Input'!M13</f>
        <v>209.74700000000013</v>
      </c>
      <c r="N20" s="127">
        <f>'Raw Input'!N13</f>
        <v>876.04200000000003</v>
      </c>
      <c r="O20" s="127">
        <f>'Raw Input'!O13</f>
        <v>254.51499999999999</v>
      </c>
      <c r="P20" s="127">
        <f>'Raw Input'!P13</f>
        <v>294.42700000000002</v>
      </c>
      <c r="Q20" s="127">
        <f>'Raw Input'!Q13</f>
        <v>311.58</v>
      </c>
      <c r="R20" s="127">
        <f>'Raw Input'!R13</f>
        <v>295.47800000000007</v>
      </c>
      <c r="S20" s="127">
        <f>'Raw Input'!S13</f>
        <v>1156</v>
      </c>
      <c r="T20" s="127">
        <f>'Raw Input'!T13</f>
        <v>362.62299999999999</v>
      </c>
      <c r="U20" s="127">
        <f>'Raw Input'!U13</f>
        <v>390.10700000000003</v>
      </c>
      <c r="V20" s="127">
        <f>'Raw Input'!V13</f>
        <v>401.149</v>
      </c>
      <c r="W20" s="127">
        <f>'Raw Input'!W13</f>
        <v>345.12100000000015</v>
      </c>
      <c r="X20" s="127">
        <f>'Raw Input'!X13</f>
        <v>1499</v>
      </c>
      <c r="Y20" s="127">
        <f>'Raw Input'!Y13</f>
        <v>428</v>
      </c>
      <c r="Z20" s="127">
        <f>'Raw Input'!Z13</f>
        <v>432</v>
      </c>
      <c r="AA20" s="127">
        <f>'Raw Input'!AA13</f>
        <v>459</v>
      </c>
      <c r="AB20" s="127">
        <f>'Raw Input'!AB13</f>
        <v>384</v>
      </c>
      <c r="AC20" s="127">
        <f>'Raw Input'!AC13</f>
        <v>1703</v>
      </c>
      <c r="AD20" s="127">
        <f>'Raw Input'!AD13</f>
        <v>480</v>
      </c>
      <c r="AE20" s="127">
        <v>506</v>
      </c>
      <c r="AF20" s="127">
        <f>AF22*AF14</f>
        <v>493.44230000000005</v>
      </c>
      <c r="AG20" s="127">
        <f>AG22*AG14</f>
        <v>407.87834999999995</v>
      </c>
      <c r="AH20" s="130"/>
      <c r="AI20" s="130"/>
      <c r="AJ20" s="130"/>
    </row>
    <row r="21" spans="2:36" x14ac:dyDescent="0.25">
      <c r="B21" s="131" t="s">
        <v>118</v>
      </c>
      <c r="C21" s="106"/>
      <c r="E21" s="107"/>
      <c r="F21" s="107"/>
      <c r="G21" s="107"/>
      <c r="H21" s="107"/>
      <c r="I21" s="127"/>
      <c r="J21" s="146"/>
      <c r="K21" s="146"/>
      <c r="L21" s="146"/>
      <c r="M21" s="146"/>
      <c r="N21" s="134">
        <f>N20/I20-1</f>
        <v>-0.26771505450496658</v>
      </c>
      <c r="O21" s="146"/>
      <c r="P21" s="146"/>
      <c r="Q21" s="146"/>
      <c r="R21" s="146"/>
      <c r="S21" s="134">
        <f t="shared" ref="S21:Y21" si="15">S20/N20-1</f>
        <v>0.31957143607269956</v>
      </c>
      <c r="T21" s="134">
        <f t="shared" si="15"/>
        <v>0.424760819598059</v>
      </c>
      <c r="U21" s="134">
        <f t="shared" si="15"/>
        <v>0.32497019634748181</v>
      </c>
      <c r="V21" s="134">
        <f t="shared" si="15"/>
        <v>0.28746710315167867</v>
      </c>
      <c r="W21" s="134">
        <f t="shared" si="15"/>
        <v>0.16800912419875624</v>
      </c>
      <c r="X21" s="134">
        <f t="shared" si="15"/>
        <v>0.29671280276816603</v>
      </c>
      <c r="Y21" s="134">
        <f t="shared" si="15"/>
        <v>0.18028917084685747</v>
      </c>
      <c r="Z21" s="134">
        <f t="shared" ref="Z21" si="16">Z20/U20-1</f>
        <v>0.10738848572314774</v>
      </c>
      <c r="AA21" s="134">
        <f>AA20/V20-1</f>
        <v>0.14421324744670927</v>
      </c>
      <c r="AB21" s="134">
        <f t="shared" ref="AB21" si="17">AB20/W20-1</f>
        <v>0.11265324335522853</v>
      </c>
      <c r="AC21" s="134">
        <f>AC20/X20-1</f>
        <v>0.13609072715143422</v>
      </c>
      <c r="AD21" s="134">
        <f>AD20/Y20-1</f>
        <v>0.12149532710280364</v>
      </c>
      <c r="AE21" s="134">
        <f>AE20/Z20-1</f>
        <v>0.17129629629629628</v>
      </c>
      <c r="AF21" s="134">
        <f>AF20/AA20-1</f>
        <v>7.5037690631808429E-2</v>
      </c>
      <c r="AG21" s="134">
        <f>AG20/AB20-1</f>
        <v>6.2183203124999809E-2</v>
      </c>
      <c r="AH21" s="130"/>
      <c r="AI21" s="130"/>
      <c r="AJ21" s="130"/>
    </row>
    <row r="22" spans="2:36" x14ac:dyDescent="0.25">
      <c r="B22" s="131" t="s">
        <v>120</v>
      </c>
      <c r="C22" s="106"/>
      <c r="E22" s="107"/>
      <c r="F22" s="107"/>
      <c r="G22" s="107"/>
      <c r="H22" s="107"/>
      <c r="I22" s="143">
        <f>I20/I$14</f>
        <v>0.24896014537466299</v>
      </c>
      <c r="J22" s="143">
        <f t="shared" ref="J22:M22" si="18">J20/J$14</f>
        <v>0.32996210636351753</v>
      </c>
      <c r="K22" s="143">
        <f t="shared" si="18"/>
        <v>0.48151290124083712</v>
      </c>
      <c r="L22" s="143">
        <f t="shared" si="18"/>
        <v>0.16935092760280437</v>
      </c>
      <c r="M22" s="143">
        <f t="shared" si="18"/>
        <v>0.2441007653061226</v>
      </c>
      <c r="N22" s="143">
        <f t="shared" ref="N22:AC22" si="19">N20/N$14</f>
        <v>0.25932220097158282</v>
      </c>
      <c r="O22" s="143">
        <f t="shared" si="19"/>
        <v>0.28695982573714446</v>
      </c>
      <c r="P22" s="143">
        <f t="shared" si="19"/>
        <v>0.22051219446433334</v>
      </c>
      <c r="Q22" s="143">
        <f t="shared" si="19"/>
        <v>0.13925786347920294</v>
      </c>
      <c r="R22" s="143">
        <f t="shared" si="19"/>
        <v>0.19284608496563102</v>
      </c>
      <c r="S22" s="143">
        <f t="shared" si="19"/>
        <v>0.19293162609984377</v>
      </c>
      <c r="T22" s="143">
        <f t="shared" si="19"/>
        <v>0.24031685882180637</v>
      </c>
      <c r="U22" s="143">
        <f t="shared" si="19"/>
        <v>0.18540264349674235</v>
      </c>
      <c r="V22" s="143">
        <f t="shared" si="19"/>
        <v>0.13907488879874916</v>
      </c>
      <c r="W22" s="143">
        <f t="shared" si="19"/>
        <v>0.18149495200221299</v>
      </c>
      <c r="X22" s="143">
        <f t="shared" si="19"/>
        <v>0.17847362781283485</v>
      </c>
      <c r="Y22" s="143">
        <f t="shared" si="19"/>
        <v>0.23542354235423543</v>
      </c>
      <c r="Z22" s="143">
        <f t="shared" si="19"/>
        <v>0.17391304347826086</v>
      </c>
      <c r="AA22" s="143">
        <f t="shared" si="19"/>
        <v>0.1351192228436856</v>
      </c>
      <c r="AB22" s="143">
        <f t="shared" si="19"/>
        <v>0.17312894499549145</v>
      </c>
      <c r="AC22" s="143">
        <f t="shared" si="19"/>
        <v>0.17172532015730563</v>
      </c>
      <c r="AD22" s="143">
        <f t="shared" ref="AD22" si="20">AD20/AD$14</f>
        <v>0.22408963585434175</v>
      </c>
      <c r="AE22" s="143">
        <f>AE20/AE$14</f>
        <v>0.18413391557496361</v>
      </c>
      <c r="AF22" s="134">
        <v>0.13</v>
      </c>
      <c r="AG22" s="134">
        <v>0.16500000000000001</v>
      </c>
      <c r="AH22" s="130"/>
      <c r="AI22" s="130"/>
      <c r="AJ22" s="130"/>
    </row>
    <row r="23" spans="2:36" x14ac:dyDescent="0.25">
      <c r="B23" s="135" t="s">
        <v>121</v>
      </c>
      <c r="C23" s="136"/>
      <c r="D23" s="135"/>
      <c r="E23" s="137"/>
      <c r="F23" s="137"/>
      <c r="G23" s="137"/>
      <c r="H23" s="137"/>
      <c r="I23" s="138">
        <f>I14-I20</f>
        <v>3608.9259999999995</v>
      </c>
      <c r="J23" s="138">
        <f t="shared" ref="J23:M23" si="21">J14-J20</f>
        <v>564.05799999999999</v>
      </c>
      <c r="K23" s="138">
        <f t="shared" si="21"/>
        <v>173.57599999999999</v>
      </c>
      <c r="L23" s="138">
        <f t="shared" si="21"/>
        <v>1115.0059999999999</v>
      </c>
      <c r="M23" s="138">
        <f t="shared" si="21"/>
        <v>649.51699999999983</v>
      </c>
      <c r="N23" s="138">
        <f t="shared" ref="N23:AC23" si="22">N14-N20</f>
        <v>2502.1570000000002</v>
      </c>
      <c r="O23" s="138">
        <f t="shared" si="22"/>
        <v>632.42100000000005</v>
      </c>
      <c r="P23" s="138">
        <f t="shared" si="22"/>
        <v>1040.7689999999998</v>
      </c>
      <c r="Q23" s="138">
        <f t="shared" si="22"/>
        <v>1925.8519999999999</v>
      </c>
      <c r="R23" s="138">
        <f t="shared" si="22"/>
        <v>1236.7180000000003</v>
      </c>
      <c r="S23" s="138">
        <f t="shared" si="22"/>
        <v>4835.76</v>
      </c>
      <c r="T23" s="138">
        <f t="shared" si="22"/>
        <v>1146.3139999999999</v>
      </c>
      <c r="U23" s="138">
        <f t="shared" si="22"/>
        <v>1714</v>
      </c>
      <c r="V23" s="138">
        <f t="shared" si="22"/>
        <v>2483.261</v>
      </c>
      <c r="W23" s="138">
        <f t="shared" si="22"/>
        <v>1556.4250000000002</v>
      </c>
      <c r="X23" s="138">
        <f t="shared" si="22"/>
        <v>6900</v>
      </c>
      <c r="Y23" s="138">
        <f t="shared" si="22"/>
        <v>1390</v>
      </c>
      <c r="Z23" s="138">
        <f t="shared" si="22"/>
        <v>2052</v>
      </c>
      <c r="AA23" s="138">
        <f t="shared" si="22"/>
        <v>2938</v>
      </c>
      <c r="AB23" s="138">
        <f t="shared" si="22"/>
        <v>1834</v>
      </c>
      <c r="AC23" s="138">
        <f t="shared" si="22"/>
        <v>8214</v>
      </c>
      <c r="AD23" s="138">
        <f t="shared" ref="AD23" si="23">AD14-AD20</f>
        <v>1662</v>
      </c>
      <c r="AE23" s="139">
        <f>AE14-AE20</f>
        <v>2242</v>
      </c>
      <c r="AF23" s="139">
        <f>AF14-AF20</f>
        <v>3302.2676999999999</v>
      </c>
      <c r="AG23" s="139">
        <f>AG14-AG20</f>
        <v>2064.1116499999998</v>
      </c>
      <c r="AH23" s="141">
        <f>SUM(AD23:AG23)</f>
        <v>9270.3793499999992</v>
      </c>
      <c r="AI23" s="141"/>
      <c r="AJ23" s="141"/>
    </row>
    <row r="24" spans="2:36" x14ac:dyDescent="0.25">
      <c r="B24" s="131" t="s">
        <v>118</v>
      </c>
      <c r="C24" s="106"/>
      <c r="E24" s="107"/>
      <c r="F24" s="107"/>
      <c r="G24" s="107"/>
      <c r="H24" s="107"/>
      <c r="I24" s="132"/>
      <c r="J24" s="146"/>
      <c r="K24" s="146"/>
      <c r="L24" s="146"/>
      <c r="M24" s="146"/>
      <c r="N24" s="134">
        <f t="shared" ref="N24:Y24" si="24">N23/I23-1</f>
        <v>-0.30667544859606422</v>
      </c>
      <c r="O24" s="134">
        <f t="shared" si="24"/>
        <v>0.12119852922926366</v>
      </c>
      <c r="P24" s="134">
        <f t="shared" si="24"/>
        <v>4.9960420795501674</v>
      </c>
      <c r="Q24" s="134">
        <f t="shared" si="24"/>
        <v>0.72721223024808834</v>
      </c>
      <c r="R24" s="134">
        <f t="shared" si="24"/>
        <v>0.90405793843733218</v>
      </c>
      <c r="S24" s="134">
        <f t="shared" si="24"/>
        <v>0.93263652120950047</v>
      </c>
      <c r="T24" s="134">
        <f t="shared" si="24"/>
        <v>0.81258054365683585</v>
      </c>
      <c r="U24" s="134">
        <f t="shared" si="24"/>
        <v>0.6468591973819362</v>
      </c>
      <c r="V24" s="134">
        <f t="shared" si="24"/>
        <v>0.28943501369783364</v>
      </c>
      <c r="W24" s="134">
        <f t="shared" si="24"/>
        <v>0.25851244988752464</v>
      </c>
      <c r="X24" s="134">
        <f t="shared" si="24"/>
        <v>0.42686981984217565</v>
      </c>
      <c r="Y24" s="134">
        <f t="shared" si="24"/>
        <v>0.21258224186392227</v>
      </c>
      <c r="Z24" s="134">
        <f t="shared" ref="Z24" si="25">Z23/U23-1</f>
        <v>0.19719953325554251</v>
      </c>
      <c r="AA24" s="134">
        <f>AA23/V23-1</f>
        <v>0.18312170971959851</v>
      </c>
      <c r="AB24" s="134">
        <f t="shared" ref="AB24" si="26">AB23/W23-1</f>
        <v>0.1783413913294889</v>
      </c>
      <c r="AC24" s="134">
        <f t="shared" ref="AC24:AH24" si="27">AC23/X23-1</f>
        <v>0.19043478260869562</v>
      </c>
      <c r="AD24" s="134">
        <f t="shared" si="27"/>
        <v>0.1956834532374101</v>
      </c>
      <c r="AE24" s="134">
        <f>AE23/Z23-1</f>
        <v>9.259259259259256E-2</v>
      </c>
      <c r="AF24" s="134">
        <f t="shared" si="27"/>
        <v>0.12398492171545272</v>
      </c>
      <c r="AG24" s="134">
        <f t="shared" si="27"/>
        <v>0.12546982006543073</v>
      </c>
      <c r="AH24" s="134">
        <f t="shared" si="27"/>
        <v>0.12860717677136591</v>
      </c>
      <c r="AI24" s="130"/>
      <c r="AJ24" s="130"/>
    </row>
    <row r="25" spans="2:36" s="365" customFormat="1" x14ac:dyDescent="0.25">
      <c r="B25" s="148" t="s">
        <v>122</v>
      </c>
      <c r="C25" s="364"/>
      <c r="E25" s="366"/>
      <c r="F25" s="366"/>
      <c r="G25" s="366"/>
      <c r="H25" s="366"/>
      <c r="I25" s="363">
        <f>I23/I$14</f>
        <v>0.75103985462533696</v>
      </c>
      <c r="J25" s="363">
        <f t="shared" ref="J25:M25" si="28">J23/J$14</f>
        <v>0.67003789363648236</v>
      </c>
      <c r="K25" s="363">
        <f t="shared" si="28"/>
        <v>0.51848709875916288</v>
      </c>
      <c r="L25" s="363">
        <f t="shared" si="28"/>
        <v>0.83064907239719554</v>
      </c>
      <c r="M25" s="363">
        <f t="shared" si="28"/>
        <v>0.75589923469387732</v>
      </c>
      <c r="N25" s="363">
        <f t="shared" ref="N25:AC25" si="29">N23/N$14</f>
        <v>0.74067779902841724</v>
      </c>
      <c r="O25" s="363">
        <f t="shared" si="29"/>
        <v>0.71304017426285549</v>
      </c>
      <c r="P25" s="363">
        <f t="shared" si="29"/>
        <v>0.77948780553566654</v>
      </c>
      <c r="Q25" s="363">
        <f t="shared" si="29"/>
        <v>0.86074213652079712</v>
      </c>
      <c r="R25" s="363">
        <f t="shared" si="29"/>
        <v>0.80715391503436895</v>
      </c>
      <c r="S25" s="363">
        <f>S23/S$14</f>
        <v>0.80706837390015618</v>
      </c>
      <c r="T25" s="363">
        <f t="shared" si="29"/>
        <v>0.75968314117819358</v>
      </c>
      <c r="U25" s="363">
        <f t="shared" si="29"/>
        <v>0.81459735650325771</v>
      </c>
      <c r="V25" s="363">
        <f t="shared" si="29"/>
        <v>0.86092511120125093</v>
      </c>
      <c r="W25" s="363">
        <f t="shared" si="29"/>
        <v>0.81850504799778701</v>
      </c>
      <c r="X25" s="363">
        <f t="shared" si="29"/>
        <v>0.82152637218716518</v>
      </c>
      <c r="Y25" s="363">
        <f t="shared" si="29"/>
        <v>0.76457645764576454</v>
      </c>
      <c r="Z25" s="363">
        <f t="shared" si="29"/>
        <v>0.82608695652173914</v>
      </c>
      <c r="AA25" s="363">
        <f t="shared" si="29"/>
        <v>0.8648807771563144</v>
      </c>
      <c r="AB25" s="363">
        <f t="shared" si="29"/>
        <v>0.82687105500450853</v>
      </c>
      <c r="AC25" s="363">
        <f t="shared" si="29"/>
        <v>0.82827467984269432</v>
      </c>
      <c r="AD25" s="363">
        <f t="shared" ref="AD25:AG25" si="30">AD23/AD$14</f>
        <v>0.77591036414565828</v>
      </c>
      <c r="AE25" s="363">
        <f>AE23/AE$14</f>
        <v>0.81586608442503639</v>
      </c>
      <c r="AF25" s="363">
        <f t="shared" si="30"/>
        <v>0.87</v>
      </c>
      <c r="AG25" s="363">
        <f t="shared" si="30"/>
        <v>0.83499999999999996</v>
      </c>
      <c r="AH25" s="363">
        <f>AH23/AH$14</f>
        <v>0.83085038583220561</v>
      </c>
      <c r="AI25" s="368"/>
      <c r="AJ25" s="368"/>
    </row>
    <row r="26" spans="2:36" x14ac:dyDescent="0.25">
      <c r="B26" s="149"/>
      <c r="C26" s="106"/>
      <c r="E26" s="107"/>
      <c r="F26" s="107"/>
      <c r="G26" s="107"/>
      <c r="H26" s="107"/>
      <c r="I26" s="127"/>
      <c r="J26" s="128"/>
      <c r="K26" s="128"/>
      <c r="L26" s="128"/>
      <c r="M26" s="128"/>
      <c r="N26" s="127"/>
      <c r="O26" s="128"/>
      <c r="P26" s="128"/>
      <c r="Q26" s="128"/>
      <c r="R26" s="128"/>
      <c r="S26" s="127"/>
      <c r="T26" s="128"/>
      <c r="U26" s="128"/>
      <c r="V26" s="128"/>
      <c r="W26" s="128"/>
      <c r="X26" s="127"/>
      <c r="Y26" s="128"/>
      <c r="Z26" s="128"/>
      <c r="AA26" s="128"/>
      <c r="AB26" s="128"/>
      <c r="AC26" s="127"/>
      <c r="AD26" s="128"/>
      <c r="AE26" s="128"/>
      <c r="AF26" s="128"/>
      <c r="AG26" s="128"/>
      <c r="AH26" s="130"/>
      <c r="AI26" s="130"/>
      <c r="AJ26" s="130"/>
    </row>
    <row r="27" spans="2:36" x14ac:dyDescent="0.25">
      <c r="B27" s="147" t="s">
        <v>123</v>
      </c>
      <c r="C27" s="106"/>
      <c r="E27" s="107"/>
      <c r="F27" s="107"/>
      <c r="G27" s="107"/>
      <c r="H27" s="107"/>
      <c r="I27" s="132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380"/>
      <c r="AF27" s="380"/>
      <c r="AG27" s="380"/>
      <c r="AH27" s="130"/>
      <c r="AI27" s="130"/>
      <c r="AJ27" s="130"/>
    </row>
    <row r="28" spans="2:36" x14ac:dyDescent="0.25">
      <c r="B28" t="s">
        <v>228</v>
      </c>
      <c r="C28" s="106"/>
      <c r="E28" s="107"/>
      <c r="F28" s="107"/>
      <c r="G28" s="107"/>
      <c r="H28" s="107"/>
      <c r="I28" s="127">
        <f>'Raw Input'!I15</f>
        <v>815.07399999999996</v>
      </c>
      <c r="J28" s="127">
        <f>'Raw Input'!J15</f>
        <v>221.78700000000001</v>
      </c>
      <c r="K28" s="127">
        <f>'Raw Input'!K15</f>
        <v>160.476</v>
      </c>
      <c r="L28" s="127">
        <f>'Raw Input'!L15</f>
        <v>166.10599999999999</v>
      </c>
      <c r="M28" s="127">
        <f>'Raw Input'!M15</f>
        <v>329.53199999999993</v>
      </c>
      <c r="N28" s="127">
        <f>'Raw Input'!N15</f>
        <v>877.90099999999995</v>
      </c>
      <c r="O28" s="127">
        <f>'Raw Input'!O15</f>
        <v>185.43600000000001</v>
      </c>
      <c r="P28" s="127">
        <f>'Raw Input'!P15</f>
        <v>208.125</v>
      </c>
      <c r="Q28" s="127">
        <f>'Raw Input'!Q15</f>
        <v>228.33</v>
      </c>
      <c r="R28" s="127">
        <f>'Raw Input'!R15</f>
        <v>225.16599999999997</v>
      </c>
      <c r="S28" s="127">
        <f>'Raw Input'!S15</f>
        <v>847.05700000000002</v>
      </c>
      <c r="T28" s="127">
        <f>'Raw Input'!T15</f>
        <v>233.012</v>
      </c>
      <c r="U28" s="127">
        <f>'Raw Input'!U15</f>
        <v>258.255</v>
      </c>
      <c r="V28" s="127">
        <f>'Raw Input'!V15</f>
        <v>289.94600000000003</v>
      </c>
      <c r="W28" s="127">
        <f>'Raw Input'!W15</f>
        <v>259.78699999999998</v>
      </c>
      <c r="X28" s="127">
        <f>'Raw Input'!X15</f>
        <v>1041</v>
      </c>
      <c r="Y28" s="127">
        <f>'Raw Input'!Y15</f>
        <v>282</v>
      </c>
      <c r="Z28" s="127">
        <f>'Raw Input'!Z15</f>
        <v>317</v>
      </c>
      <c r="AA28" s="127">
        <f>'Raw Input'!AA15</f>
        <v>316</v>
      </c>
      <c r="AB28" s="127">
        <f>'Raw Input'!AB15</f>
        <v>271</v>
      </c>
      <c r="AC28" s="127">
        <f>'Raw Input'!AC15</f>
        <v>1186</v>
      </c>
      <c r="AD28" s="127">
        <f>'Raw Input'!AD15</f>
        <v>285</v>
      </c>
      <c r="AE28" s="128">
        <v>338</v>
      </c>
      <c r="AF28" s="128">
        <f>AF30*AF$14</f>
        <v>303.65680000000003</v>
      </c>
      <c r="AG28" s="128">
        <f>AG30*AG$14</f>
        <v>271.91889999999995</v>
      </c>
      <c r="AH28" s="381">
        <f>SUM(AD28:AG28)</f>
        <v>1198.5756999999999</v>
      </c>
      <c r="AI28" s="142"/>
      <c r="AJ28" s="142"/>
    </row>
    <row r="29" spans="2:36" x14ac:dyDescent="0.25">
      <c r="B29" s="131" t="s">
        <v>118</v>
      </c>
      <c r="C29" s="106"/>
      <c r="E29" s="107"/>
      <c r="F29" s="107"/>
      <c r="G29" s="107"/>
      <c r="H29" s="107"/>
      <c r="I29" s="127"/>
      <c r="J29" s="146"/>
      <c r="K29" s="146"/>
      <c r="L29" s="146"/>
      <c r="M29" s="146"/>
      <c r="N29" s="134">
        <f t="shared" ref="N29:Y29" si="31">N28/I28-1</f>
        <v>7.7081344761334547E-2</v>
      </c>
      <c r="O29" s="134">
        <f t="shared" si="31"/>
        <v>-0.16390049912754123</v>
      </c>
      <c r="P29" s="134">
        <f t="shared" si="31"/>
        <v>0.2969229043595305</v>
      </c>
      <c r="Q29" s="134">
        <f t="shared" si="31"/>
        <v>0.3746041684225736</v>
      </c>
      <c r="R29" s="134">
        <f t="shared" si="31"/>
        <v>-0.31670975808115742</v>
      </c>
      <c r="S29" s="134">
        <f t="shared" si="31"/>
        <v>-3.5133802102970568E-2</v>
      </c>
      <c r="T29" s="134">
        <f t="shared" si="31"/>
        <v>0.25656291119308006</v>
      </c>
      <c r="U29" s="134">
        <f t="shared" si="31"/>
        <v>0.2408648648648648</v>
      </c>
      <c r="V29" s="134">
        <f t="shared" si="31"/>
        <v>0.26985503438006408</v>
      </c>
      <c r="W29" s="134">
        <f t="shared" si="31"/>
        <v>0.15375767211746005</v>
      </c>
      <c r="X29" s="134">
        <f t="shared" si="31"/>
        <v>0.22896097901321877</v>
      </c>
      <c r="Y29" s="134">
        <f t="shared" si="31"/>
        <v>0.21023809932535653</v>
      </c>
      <c r="Z29" s="134">
        <f t="shared" ref="Z29" si="32">Z28/U28-1</f>
        <v>0.22746897446322434</v>
      </c>
      <c r="AA29" s="134">
        <f>AA28/V28-1</f>
        <v>8.9858111510419114E-2</v>
      </c>
      <c r="AB29" s="134">
        <f t="shared" ref="AB29" si="33">AB28/W28-1</f>
        <v>4.3162282947183828E-2</v>
      </c>
      <c r="AC29" s="134">
        <f>AC28/X28-1</f>
        <v>0.13928914505283374</v>
      </c>
      <c r="AD29" s="134">
        <f>AD28/Y28-1</f>
        <v>1.0638297872340496E-2</v>
      </c>
      <c r="AE29" s="134">
        <f>AE28/Z28-1</f>
        <v>6.6246056782334417E-2</v>
      </c>
      <c r="AF29" s="134">
        <f t="shared" ref="AF29:AH29" si="34">AF28/AA28-1</f>
        <v>-3.9060759493670827E-2</v>
      </c>
      <c r="AG29" s="134">
        <f t="shared" si="34"/>
        <v>3.3907749077488614E-3</v>
      </c>
      <c r="AH29" s="134">
        <f t="shared" si="34"/>
        <v>1.0603456998313554E-2</v>
      </c>
      <c r="AI29" s="130"/>
      <c r="AJ29" s="130"/>
    </row>
    <row r="30" spans="2:36" x14ac:dyDescent="0.25">
      <c r="B30" s="131" t="s">
        <v>120</v>
      </c>
      <c r="C30" s="106"/>
      <c r="E30" s="107"/>
      <c r="F30" s="107"/>
      <c r="G30" s="107"/>
      <c r="H30" s="107"/>
      <c r="I30" s="143">
        <f>I28/I$14</f>
        <v>0.1696219480446238</v>
      </c>
      <c r="J30" s="143">
        <f t="shared" ref="J30:M30" si="35">J28/J$14</f>
        <v>0.26345818039271585</v>
      </c>
      <c r="K30" s="143">
        <f t="shared" si="35"/>
        <v>0.47935622240675801</v>
      </c>
      <c r="L30" s="143">
        <f t="shared" si="35"/>
        <v>0.12374444157216068</v>
      </c>
      <c r="M30" s="143">
        <f t="shared" si="35"/>
        <v>0.38350495307612087</v>
      </c>
      <c r="N30" s="143">
        <f t="shared" ref="N30:AC30" si="36">N28/N$14</f>
        <v>0.25987249418995151</v>
      </c>
      <c r="O30" s="143">
        <f t="shared" si="36"/>
        <v>0.20907483741780691</v>
      </c>
      <c r="P30" s="143">
        <f t="shared" si="36"/>
        <v>0.1558759912402374</v>
      </c>
      <c r="Q30" s="143">
        <f t="shared" si="36"/>
        <v>0.10205002878299767</v>
      </c>
      <c r="R30" s="143">
        <f t="shared" si="36"/>
        <v>0.14695639461269963</v>
      </c>
      <c r="S30" s="143">
        <f t="shared" si="36"/>
        <v>0.14137031523291987</v>
      </c>
      <c r="T30" s="143">
        <f t="shared" si="36"/>
        <v>0.15442129127988777</v>
      </c>
      <c r="U30" s="143">
        <f t="shared" si="36"/>
        <v>0.1227385299321755</v>
      </c>
      <c r="V30" s="143">
        <f t="shared" si="36"/>
        <v>0.10052177048339177</v>
      </c>
      <c r="W30" s="143">
        <f t="shared" si="36"/>
        <v>0.13661883541076572</v>
      </c>
      <c r="X30" s="143">
        <f t="shared" si="36"/>
        <v>0.1239433265864984</v>
      </c>
      <c r="Y30" s="143">
        <f t="shared" si="36"/>
        <v>0.15511551155115511</v>
      </c>
      <c r="Z30" s="143">
        <f t="shared" si="36"/>
        <v>0.12761674718196458</v>
      </c>
      <c r="AA30" s="143">
        <f t="shared" si="36"/>
        <v>9.3023255813953487E-2</v>
      </c>
      <c r="AB30" s="143">
        <f t="shared" si="36"/>
        <v>0.12218214607754734</v>
      </c>
      <c r="AC30" s="143">
        <f t="shared" si="36"/>
        <v>0.11959261873550468</v>
      </c>
      <c r="AD30" s="143">
        <f t="shared" ref="AD30" si="37">AD28/AD$14</f>
        <v>0.13305322128851541</v>
      </c>
      <c r="AE30" s="143">
        <f>AE28/AE$14</f>
        <v>0.12299854439592431</v>
      </c>
      <c r="AF30" s="380">
        <v>0.08</v>
      </c>
      <c r="AG30" s="380">
        <v>0.11</v>
      </c>
      <c r="AH30" s="380">
        <v>0.11</v>
      </c>
      <c r="AI30" s="130"/>
      <c r="AJ30" s="130"/>
    </row>
    <row r="31" spans="2:36" x14ac:dyDescent="0.25">
      <c r="B31" t="s">
        <v>229</v>
      </c>
      <c r="C31" s="106"/>
      <c r="E31" s="107"/>
      <c r="F31" s="107"/>
      <c r="G31" s="107"/>
      <c r="H31" s="107"/>
      <c r="I31" s="127">
        <f>'Raw Input'!I16</f>
        <v>976.69500000000005</v>
      </c>
      <c r="J31" s="127">
        <f>'Raw Input'!J16</f>
        <v>258.81900000000002</v>
      </c>
      <c r="K31" s="127">
        <f>'Raw Input'!K16</f>
        <v>217.93799999999999</v>
      </c>
      <c r="L31" s="127">
        <f>'Raw Input'!L16</f>
        <v>213.92</v>
      </c>
      <c r="M31" s="127">
        <f>'Raw Input'!M16</f>
        <v>2062.1949999999997</v>
      </c>
      <c r="N31" s="127">
        <f>'Raw Input'!N16</f>
        <v>2752.8719999999998</v>
      </c>
      <c r="O31" s="127">
        <f>'Raw Input'!O16</f>
        <v>363.06099999999998</v>
      </c>
      <c r="P31" s="127">
        <f>'Raw Input'!P16</f>
        <v>349.73399999999998</v>
      </c>
      <c r="Q31" s="127">
        <f>'Raw Input'!Q16</f>
        <v>344.41</v>
      </c>
      <c r="R31" s="127">
        <f>'Raw Input'!R16</f>
        <v>367.84300000000002</v>
      </c>
      <c r="S31" s="127">
        <f>'Raw Input'!S16</f>
        <v>1425.048</v>
      </c>
      <c r="T31" s="127">
        <f>'Raw Input'!T16</f>
        <v>362.92700000000002</v>
      </c>
      <c r="U31" s="127">
        <f>'Raw Input'!U16</f>
        <v>375.05</v>
      </c>
      <c r="V31" s="127">
        <f>'Raw Input'!V16</f>
        <v>366.18200000000002</v>
      </c>
      <c r="W31" s="127">
        <f>'Raw Input'!W16</f>
        <v>397.84100000000001</v>
      </c>
      <c r="X31" s="127">
        <f>'Raw Input'!X16</f>
        <v>1502</v>
      </c>
      <c r="Y31" s="127">
        <f>'Raw Input'!Y16</f>
        <v>420</v>
      </c>
      <c r="Z31" s="127">
        <f>'Raw Input'!Z16</f>
        <v>451</v>
      </c>
      <c r="AA31" s="127">
        <f>'Raw Input'!AA16</f>
        <v>419</v>
      </c>
      <c r="AB31" s="127">
        <f>'Raw Input'!AB16</f>
        <v>432</v>
      </c>
      <c r="AC31" s="127">
        <f>'Raw Input'!AC16</f>
        <v>1722</v>
      </c>
      <c r="AD31" s="127">
        <f>'Raw Input'!AD16</f>
        <v>475</v>
      </c>
      <c r="AE31" s="128">
        <v>519</v>
      </c>
      <c r="AF31" s="128">
        <f>AF33*AF$14</f>
        <v>455.48519999999996</v>
      </c>
      <c r="AG31" s="128">
        <f>AG33*AG$14</f>
        <v>444.95819999999992</v>
      </c>
      <c r="AH31" s="381">
        <f>SUM(AD31:AG31)</f>
        <v>1894.4434000000001</v>
      </c>
      <c r="AI31" s="142"/>
      <c r="AJ31" s="142"/>
    </row>
    <row r="32" spans="2:36" s="1" customFormat="1" x14ac:dyDescent="0.25">
      <c r="B32" s="131" t="s">
        <v>118</v>
      </c>
      <c r="C32" s="117"/>
      <c r="E32" s="118"/>
      <c r="F32" s="118"/>
      <c r="G32" s="118"/>
      <c r="H32" s="118"/>
      <c r="I32" s="127"/>
      <c r="J32" s="146"/>
      <c r="K32" s="146"/>
      <c r="L32" s="146"/>
      <c r="M32" s="146"/>
      <c r="N32" s="134">
        <f t="shared" ref="N32:Y32" si="38">N31/I31-1</f>
        <v>1.8185585059819083</v>
      </c>
      <c r="O32" s="134">
        <f t="shared" si="38"/>
        <v>0.40276023012220885</v>
      </c>
      <c r="P32" s="134">
        <f t="shared" si="38"/>
        <v>0.60474079784158796</v>
      </c>
      <c r="Q32" s="134">
        <f t="shared" si="38"/>
        <v>0.60999439042632786</v>
      </c>
      <c r="R32" s="134">
        <f t="shared" si="38"/>
        <v>-0.82162550098317566</v>
      </c>
      <c r="S32" s="134">
        <f t="shared" si="38"/>
        <v>-0.482341351141644</v>
      </c>
      <c r="T32" s="134">
        <f t="shared" si="38"/>
        <v>-3.6908398313217905E-4</v>
      </c>
      <c r="U32" s="134">
        <f t="shared" si="38"/>
        <v>7.2386442267551976E-2</v>
      </c>
      <c r="V32" s="134">
        <f t="shared" si="38"/>
        <v>6.3215353793443896E-2</v>
      </c>
      <c r="W32" s="134">
        <f t="shared" si="38"/>
        <v>8.1551096527594513E-2</v>
      </c>
      <c r="X32" s="134">
        <f t="shared" si="38"/>
        <v>5.3999584575396664E-2</v>
      </c>
      <c r="Y32" s="134">
        <f t="shared" si="38"/>
        <v>0.15725752010734939</v>
      </c>
      <c r="Z32" s="134">
        <f t="shared" ref="Z32" si="39">Z31/U31-1</f>
        <v>0.20250633248900152</v>
      </c>
      <c r="AA32" s="134">
        <f>AA31/V31-1</f>
        <v>0.14423974963269637</v>
      </c>
      <c r="AB32" s="134">
        <f t="shared" ref="AB32" si="40">AB31/W31-1</f>
        <v>8.5860934393388266E-2</v>
      </c>
      <c r="AC32" s="134">
        <f>AC31/X31-1</f>
        <v>0.14647137150466039</v>
      </c>
      <c r="AD32" s="134">
        <f>AD31/Y31-1</f>
        <v>0.13095238095238093</v>
      </c>
      <c r="AE32" s="134">
        <f>AE31/Z31-1</f>
        <v>0.1507760532150777</v>
      </c>
      <c r="AF32" s="134">
        <f t="shared" ref="AF32" si="41">AF31/AA31-1</f>
        <v>8.7076849642004683E-2</v>
      </c>
      <c r="AG32" s="134">
        <f t="shared" ref="AG32" si="42">AG31/AB31-1</f>
        <v>2.9995833333333222E-2</v>
      </c>
      <c r="AH32" s="134">
        <f t="shared" ref="AH32" si="43">AH31/AC31-1</f>
        <v>0.10014134727061563</v>
      </c>
      <c r="AI32" s="130"/>
      <c r="AJ32" s="130"/>
    </row>
    <row r="33" spans="2:36" s="1" customFormat="1" x14ac:dyDescent="0.25">
      <c r="B33" s="131" t="s">
        <v>120</v>
      </c>
      <c r="C33" s="117"/>
      <c r="E33" s="118"/>
      <c r="F33" s="118"/>
      <c r="G33" s="118"/>
      <c r="H33" s="118"/>
      <c r="I33" s="143">
        <f>I31/I$14</f>
        <v>0.20325627924022097</v>
      </c>
      <c r="J33" s="143">
        <f t="shared" ref="J33:M33" si="44">J31/J$14</f>
        <v>0.30744805958447669</v>
      </c>
      <c r="K33" s="143">
        <f t="shared" si="44"/>
        <v>0.65100037637331454</v>
      </c>
      <c r="L33" s="143">
        <f t="shared" si="44"/>
        <v>0.15936456805363208</v>
      </c>
      <c r="M33" s="143">
        <f t="shared" si="44"/>
        <v>2.3999550778340528</v>
      </c>
      <c r="N33" s="143">
        <f t="shared" ref="N33:AC33" si="45">N31/N$14</f>
        <v>0.81489337957888208</v>
      </c>
      <c r="O33" s="143">
        <f t="shared" si="45"/>
        <v>0.40934295146436717</v>
      </c>
      <c r="P33" s="143">
        <f t="shared" si="45"/>
        <v>0.26193457739537868</v>
      </c>
      <c r="Q33" s="143">
        <f t="shared" si="45"/>
        <v>0.15393093510774855</v>
      </c>
      <c r="R33" s="143">
        <f t="shared" si="45"/>
        <v>0.24007568222342307</v>
      </c>
      <c r="S33" s="143">
        <f t="shared" si="45"/>
        <v>0.23783462622000881</v>
      </c>
      <c r="T33" s="143">
        <f t="shared" si="45"/>
        <v>0.2405183251520773</v>
      </c>
      <c r="U33" s="143">
        <f t="shared" si="45"/>
        <v>0.17824663859775192</v>
      </c>
      <c r="V33" s="143">
        <f t="shared" si="45"/>
        <v>0.1269521323251549</v>
      </c>
      <c r="W33" s="143">
        <f t="shared" si="45"/>
        <v>0.20921976118379462</v>
      </c>
      <c r="X33" s="143">
        <f t="shared" si="45"/>
        <v>0.17883081319204666</v>
      </c>
      <c r="Y33" s="143">
        <f t="shared" si="45"/>
        <v>0.23102310231023102</v>
      </c>
      <c r="Z33" s="143">
        <f t="shared" si="45"/>
        <v>0.18156199677938809</v>
      </c>
      <c r="AA33" s="143">
        <f t="shared" si="45"/>
        <v>0.12334412717103327</v>
      </c>
      <c r="AB33" s="143">
        <f t="shared" si="45"/>
        <v>0.19477006311992787</v>
      </c>
      <c r="AC33" s="143">
        <f t="shared" si="45"/>
        <v>0.17364122214379349</v>
      </c>
      <c r="AD33" s="143">
        <f t="shared" ref="AD33" si="46">AD31/AD$14</f>
        <v>0.22175536881419233</v>
      </c>
      <c r="AE33" s="143">
        <f>AE31/AE$14</f>
        <v>0.18886462882096069</v>
      </c>
      <c r="AF33" s="380">
        <v>0.12</v>
      </c>
      <c r="AG33" s="380">
        <v>0.18</v>
      </c>
      <c r="AH33" s="130"/>
      <c r="AI33" s="130"/>
      <c r="AJ33" s="130"/>
    </row>
    <row r="34" spans="2:36" s="1" customFormat="1" x14ac:dyDescent="0.25">
      <c r="B34" t="s">
        <v>230</v>
      </c>
      <c r="C34" s="117"/>
      <c r="E34" s="118"/>
      <c r="F34" s="118"/>
      <c r="G34" s="118"/>
      <c r="H34" s="118"/>
      <c r="I34" s="127">
        <f>'Raw Input'!I17</f>
        <v>1621.519</v>
      </c>
      <c r="J34" s="127">
        <f>'Raw Input'!J17</f>
        <v>317.17899999999997</v>
      </c>
      <c r="K34" s="127">
        <f>'Raw Input'!K17</f>
        <v>114.837</v>
      </c>
      <c r="L34" s="127">
        <f>'Raw Input'!L17</f>
        <v>113.494</v>
      </c>
      <c r="M34" s="127">
        <f>'Raw Input'!M17</f>
        <v>629.81500000000017</v>
      </c>
      <c r="N34" s="127">
        <f>'Raw Input'!N17</f>
        <v>1175.325</v>
      </c>
      <c r="O34" s="127">
        <f>'Raw Input'!O17</f>
        <v>229.125</v>
      </c>
      <c r="P34" s="127">
        <f>'Raw Input'!P17</f>
        <v>315.32299999999998</v>
      </c>
      <c r="Q34" s="127">
        <f>'Raw Input'!Q17</f>
        <v>290.85599999999999</v>
      </c>
      <c r="R34" s="127">
        <f>'Raw Input'!R17</f>
        <v>351.02800000000013</v>
      </c>
      <c r="S34" s="127">
        <f>'Raw Input'!S17</f>
        <v>1186.3320000000001</v>
      </c>
      <c r="T34" s="127">
        <f>'Raw Input'!T17</f>
        <v>344.61599999999999</v>
      </c>
      <c r="U34" s="127">
        <f>'Raw Input'!U17</f>
        <v>379.875</v>
      </c>
      <c r="V34" s="127">
        <f>'Raw Input'!V17</f>
        <v>383.16500000000002</v>
      </c>
      <c r="W34" s="127">
        <f>'Raw Input'!W17</f>
        <v>408.34400000000005</v>
      </c>
      <c r="X34" s="127">
        <f>'Raw Input'!X17</f>
        <v>1516</v>
      </c>
      <c r="Y34" s="127">
        <f>'Raw Input'!Y17</f>
        <v>450</v>
      </c>
      <c r="Z34" s="127">
        <f>'Raw Input'!Z17</f>
        <v>486</v>
      </c>
      <c r="AA34" s="127">
        <f>'Raw Input'!AA17</f>
        <v>403</v>
      </c>
      <c r="AB34" s="127">
        <f>'Raw Input'!AB17</f>
        <v>424</v>
      </c>
      <c r="AC34" s="127">
        <f>'Raw Input'!AC17</f>
        <v>1763</v>
      </c>
      <c r="AD34" s="127">
        <f>'Raw Input'!AD17</f>
        <v>514</v>
      </c>
      <c r="AE34" s="128">
        <v>573</v>
      </c>
      <c r="AF34" s="128">
        <f>AF36*AF$14</f>
        <v>569.35649999999998</v>
      </c>
      <c r="AG34" s="128">
        <f>AG36*AG$14</f>
        <v>543.8377999999999</v>
      </c>
      <c r="AH34" s="381">
        <f>SUM(AD34:AG34)</f>
        <v>2200.1942999999997</v>
      </c>
      <c r="AI34" s="130"/>
      <c r="AJ34" s="130"/>
    </row>
    <row r="35" spans="2:36" s="1" customFormat="1" x14ac:dyDescent="0.25">
      <c r="B35" s="131" t="s">
        <v>118</v>
      </c>
      <c r="I35" s="127"/>
      <c r="J35" s="146"/>
      <c r="K35" s="146"/>
      <c r="L35" s="146"/>
      <c r="M35" s="146"/>
      <c r="N35" s="134">
        <f t="shared" ref="N35:Y35" si="47">N34/I34-1</f>
        <v>-0.27517038036557073</v>
      </c>
      <c r="O35" s="134">
        <f t="shared" si="47"/>
        <v>-0.27761610951544702</v>
      </c>
      <c r="P35" s="134">
        <f t="shared" si="47"/>
        <v>1.7458310474846956</v>
      </c>
      <c r="Q35" s="134">
        <f t="shared" si="47"/>
        <v>1.5627434049377058</v>
      </c>
      <c r="R35" s="134">
        <f t="shared" si="47"/>
        <v>-0.44264903185856153</v>
      </c>
      <c r="S35" s="134">
        <f t="shared" si="47"/>
        <v>9.3650692361688659E-3</v>
      </c>
      <c r="T35" s="134">
        <f t="shared" si="47"/>
        <v>0.50405237315875606</v>
      </c>
      <c r="U35" s="134">
        <f t="shared" si="47"/>
        <v>0.20471706789545974</v>
      </c>
      <c r="V35" s="134">
        <f t="shared" si="47"/>
        <v>0.31737010754462691</v>
      </c>
      <c r="W35" s="134">
        <f t="shared" si="47"/>
        <v>0.16328042207459204</v>
      </c>
      <c r="X35" s="134">
        <f t="shared" si="47"/>
        <v>0.27788848315648562</v>
      </c>
      <c r="Y35" s="134">
        <f t="shared" si="47"/>
        <v>0.30580123964064354</v>
      </c>
      <c r="Z35" s="134">
        <f t="shared" ref="Z35" si="48">Z34/U34-1</f>
        <v>0.27936821322803551</v>
      </c>
      <c r="AA35" s="134">
        <f>AA34/V34-1</f>
        <v>5.1766210379340372E-2</v>
      </c>
      <c r="AB35" s="134">
        <f t="shared" ref="AB35" si="49">AB34/W34-1</f>
        <v>3.8340222949277969E-2</v>
      </c>
      <c r="AC35" s="134">
        <f>AC34/X34-1</f>
        <v>0.1629287598944591</v>
      </c>
      <c r="AD35" s="134">
        <f>AD34/Y34-1</f>
        <v>0.14222222222222225</v>
      </c>
      <c r="AE35" s="134">
        <f>AE34/Z34-1</f>
        <v>0.17901234567901225</v>
      </c>
      <c r="AF35" s="134">
        <f t="shared" ref="AF35" si="50">AF34/AA34-1</f>
        <v>0.41279528535980137</v>
      </c>
      <c r="AG35" s="134">
        <f t="shared" ref="AG35" si="51">AG34/AB34-1</f>
        <v>0.28263632075471667</v>
      </c>
      <c r="AH35" s="134">
        <f t="shared" ref="AH35" si="52">AH34/AC34-1</f>
        <v>0.24798315371525792</v>
      </c>
      <c r="AI35" s="130"/>
      <c r="AJ35" s="130"/>
    </row>
    <row r="36" spans="2:36" s="1" customFormat="1" x14ac:dyDescent="0.25">
      <c r="B36" s="131" t="s">
        <v>120</v>
      </c>
      <c r="C36" s="117"/>
      <c r="E36" s="118"/>
      <c r="F36" s="118"/>
      <c r="G36" s="118"/>
      <c r="H36" s="118"/>
      <c r="I36" s="143">
        <f>I34/I$14</f>
        <v>0.33744814774041421</v>
      </c>
      <c r="J36" s="143">
        <f t="shared" ref="J36:M36" si="53">J34/J$14</f>
        <v>0.376773220246368</v>
      </c>
      <c r="K36" s="143">
        <f t="shared" si="53"/>
        <v>0.34302843112069636</v>
      </c>
      <c r="L36" s="143">
        <f t="shared" si="53"/>
        <v>8.4549935895095921E-2</v>
      </c>
      <c r="M36" s="143">
        <f t="shared" si="53"/>
        <v>0.73297030947415476</v>
      </c>
      <c r="N36" s="143">
        <f t="shared" ref="N36:AC36" si="54">N34/N$14</f>
        <v>0.34791467287747113</v>
      </c>
      <c r="O36" s="143">
        <f t="shared" si="54"/>
        <v>0.25833318300305769</v>
      </c>
      <c r="P36" s="143">
        <f t="shared" si="54"/>
        <v>0.23616233122328106</v>
      </c>
      <c r="Q36" s="143">
        <f t="shared" si="54"/>
        <v>0.12999545907987373</v>
      </c>
      <c r="R36" s="143">
        <f t="shared" si="54"/>
        <v>0.22910123770065974</v>
      </c>
      <c r="S36" s="143">
        <f>S34/S$14</f>
        <v>0.19799391163865043</v>
      </c>
      <c r="T36" s="143">
        <f t="shared" si="54"/>
        <v>0.22838329234421317</v>
      </c>
      <c r="U36" s="143">
        <f t="shared" si="54"/>
        <v>0.18053977292979873</v>
      </c>
      <c r="V36" s="143">
        <f t="shared" si="54"/>
        <v>0.13283999154073103</v>
      </c>
      <c r="W36" s="143">
        <f t="shared" si="54"/>
        <v>0.21474316161691592</v>
      </c>
      <c r="X36" s="143">
        <f t="shared" si="54"/>
        <v>0.18049767829503513</v>
      </c>
      <c r="Y36" s="143">
        <f t="shared" si="54"/>
        <v>0.24752475247524752</v>
      </c>
      <c r="Z36" s="143">
        <f t="shared" si="54"/>
        <v>0.19565217391304349</v>
      </c>
      <c r="AA36" s="143">
        <f t="shared" si="54"/>
        <v>0.11863408890197233</v>
      </c>
      <c r="AB36" s="143">
        <f t="shared" si="54"/>
        <v>0.19116321009918846</v>
      </c>
      <c r="AC36" s="143">
        <f t="shared" si="54"/>
        <v>0.17777553695674095</v>
      </c>
      <c r="AD36" s="143">
        <f t="shared" ref="AD36" si="55">AD34/AD$14</f>
        <v>0.23996265172735762</v>
      </c>
      <c r="AE36" s="143">
        <f>AE34/AE$14</f>
        <v>0.20851528384279475</v>
      </c>
      <c r="AF36" s="380">
        <v>0.15</v>
      </c>
      <c r="AG36" s="380">
        <v>0.22</v>
      </c>
      <c r="AH36" s="130"/>
      <c r="AI36" s="130"/>
      <c r="AJ36" s="130"/>
    </row>
    <row r="37" spans="2:36" s="1" customFormat="1" x14ac:dyDescent="0.25">
      <c r="B37" t="s">
        <v>231</v>
      </c>
      <c r="C37" s="151"/>
      <c r="D37" s="152"/>
      <c r="E37" s="153"/>
      <c r="F37" s="153"/>
      <c r="G37" s="153"/>
      <c r="H37" s="153"/>
      <c r="I37" s="127">
        <f>'Raw Input'!I18</f>
        <v>697.18100000000004</v>
      </c>
      <c r="J37" s="127">
        <f>'Raw Input'!J18</f>
        <v>91.762</v>
      </c>
      <c r="K37" s="127">
        <f>'Raw Input'!K18</f>
        <v>149.29900000000001</v>
      </c>
      <c r="L37" s="127">
        <f>'Raw Input'!L18</f>
        <v>180.02099999999999</v>
      </c>
      <c r="M37" s="127">
        <f>'Raw Input'!M18</f>
        <v>713.76900000000023</v>
      </c>
      <c r="N37" s="127">
        <f>'Raw Input'!N18</f>
        <v>1134.8510000000001</v>
      </c>
      <c r="O37" s="127">
        <f>'Raw Input'!O18</f>
        <v>189.762</v>
      </c>
      <c r="P37" s="127">
        <f>'Raw Input'!P18</f>
        <v>218.303</v>
      </c>
      <c r="Q37" s="127">
        <f>'Raw Input'!Q18</f>
        <v>210.74799999999999</v>
      </c>
      <c r="R37" s="127">
        <f>'Raw Input'!R18</f>
        <v>216.51100000000002</v>
      </c>
      <c r="S37" s="127">
        <f>'Raw Input'!S18</f>
        <v>835.32399999999996</v>
      </c>
      <c r="T37" s="127">
        <f>'Raw Input'!T18</f>
        <v>210.57300000000001</v>
      </c>
      <c r="U37" s="127">
        <f>'Raw Input'!U18</f>
        <v>243.25399999999999</v>
      </c>
      <c r="V37" s="127">
        <f>'Raw Input'!V18</f>
        <v>240.435</v>
      </c>
      <c r="W37" s="127">
        <f>'Raw Input'!W18</f>
        <v>255.73800000000003</v>
      </c>
      <c r="X37" s="127">
        <f>'Raw Input'!X18</f>
        <v>950</v>
      </c>
      <c r="Y37" s="127">
        <f>'Raw Input'!Y18</f>
        <v>243</v>
      </c>
      <c r="Z37" s="127">
        <f>'Raw Input'!Z18</f>
        <v>275</v>
      </c>
      <c r="AA37" s="127">
        <f>'Raw Input'!AA18</f>
        <v>304</v>
      </c>
      <c r="AB37" s="127">
        <f>'Raw Input'!AB18</f>
        <v>1203</v>
      </c>
      <c r="AC37" s="127">
        <f>'Raw Input'!AC18</f>
        <v>2025</v>
      </c>
      <c r="AD37" s="127">
        <f>'Raw Input'!AD18</f>
        <v>287</v>
      </c>
      <c r="AE37" s="128">
        <v>315</v>
      </c>
      <c r="AF37" s="128">
        <f>AF39*AF$14</f>
        <v>332.12462499999998</v>
      </c>
      <c r="AG37" s="128">
        <f>AG39*AG$14</f>
        <v>339.89862499999998</v>
      </c>
      <c r="AH37" s="381">
        <f>SUM(AD37:AG37)</f>
        <v>1274.02325</v>
      </c>
      <c r="AI37" s="154"/>
      <c r="AJ37" s="154"/>
    </row>
    <row r="38" spans="2:36" x14ac:dyDescent="0.25">
      <c r="B38" s="131" t="s">
        <v>118</v>
      </c>
      <c r="C38" s="106"/>
      <c r="E38" s="107"/>
      <c r="F38" s="107"/>
      <c r="G38" s="107"/>
      <c r="H38" s="107"/>
      <c r="I38" s="127"/>
      <c r="J38" s="146"/>
      <c r="K38" s="146"/>
      <c r="L38" s="146"/>
      <c r="M38" s="146"/>
      <c r="N38" s="134">
        <f t="shared" ref="N38:Y38" si="56">N37/I37-1</f>
        <v>0.62777098056315372</v>
      </c>
      <c r="O38" s="134">
        <f t="shared" si="56"/>
        <v>1.0679802096728492</v>
      </c>
      <c r="P38" s="134">
        <f t="shared" si="56"/>
        <v>0.46218661879851841</v>
      </c>
      <c r="Q38" s="134">
        <f t="shared" si="56"/>
        <v>0.17068564223062865</v>
      </c>
      <c r="R38" s="134">
        <f t="shared" si="56"/>
        <v>-0.69666516758222907</v>
      </c>
      <c r="S38" s="134">
        <f t="shared" si="56"/>
        <v>-0.26393508927603726</v>
      </c>
      <c r="T38" s="134">
        <f t="shared" si="56"/>
        <v>0.10966895374205587</v>
      </c>
      <c r="U38" s="134">
        <f t="shared" si="56"/>
        <v>0.11429526850295235</v>
      </c>
      <c r="V38" s="134">
        <f t="shared" si="56"/>
        <v>0.14086491924004041</v>
      </c>
      <c r="W38" s="134">
        <f t="shared" si="56"/>
        <v>0.18117786163289629</v>
      </c>
      <c r="X38" s="134">
        <f t="shared" si="56"/>
        <v>0.13728325775387762</v>
      </c>
      <c r="Y38" s="134">
        <f t="shared" si="56"/>
        <v>0.15399410180792406</v>
      </c>
      <c r="Z38" s="134">
        <f t="shared" ref="Z38" si="57">Z37/U37-1</f>
        <v>0.13050556208736541</v>
      </c>
      <c r="AA38" s="134">
        <f>AA37/V37-1</f>
        <v>0.26437498700272433</v>
      </c>
      <c r="AB38" s="134">
        <f t="shared" ref="AB38" si="58">AB37/W37-1</f>
        <v>3.7040330338080372</v>
      </c>
      <c r="AC38" s="134">
        <f>AC37/X37-1</f>
        <v>1.1315789473684212</v>
      </c>
      <c r="AD38" s="134">
        <f>AD37/Y37-1</f>
        <v>0.18106995884773669</v>
      </c>
      <c r="AE38" s="134">
        <f>AE37/Z37-1</f>
        <v>0.1454545454545455</v>
      </c>
      <c r="AF38" s="134">
        <f t="shared" ref="AF38" si="59">AF37/AA37-1</f>
        <v>9.2515213815789421E-2</v>
      </c>
      <c r="AG38" s="134">
        <f t="shared" ref="AG38" si="60">AG37/AB37-1</f>
        <v>-0.71745750207813797</v>
      </c>
      <c r="AH38" s="134">
        <f t="shared" ref="AH38" si="61">AH37/AC37-1</f>
        <v>-0.37085271604938275</v>
      </c>
      <c r="AI38" s="130"/>
      <c r="AJ38" s="130"/>
    </row>
    <row r="39" spans="2:36" x14ac:dyDescent="0.25">
      <c r="B39" s="131" t="s">
        <v>120</v>
      </c>
      <c r="C39" s="106"/>
      <c r="E39" s="107"/>
      <c r="F39" s="107"/>
      <c r="G39" s="107"/>
      <c r="H39" s="107"/>
      <c r="I39" s="143">
        <f>I37/I$14</f>
        <v>0.14508768450435039</v>
      </c>
      <c r="J39" s="143">
        <f t="shared" ref="J39:M39" si="62">J37/J$14</f>
        <v>0.10900300535737618</v>
      </c>
      <c r="K39" s="143">
        <f t="shared" si="62"/>
        <v>0.44596951973570231</v>
      </c>
      <c r="L39" s="143">
        <f t="shared" si="62"/>
        <v>0.13411073721757152</v>
      </c>
      <c r="M39" s="143">
        <f t="shared" si="62"/>
        <v>0.83067485662148099</v>
      </c>
      <c r="N39" s="143">
        <f>N37/N$14</f>
        <v>0.33593373273747346</v>
      </c>
      <c r="O39" s="143">
        <f t="shared" ref="O39:AC39" si="63">O37/O$14</f>
        <v>0.21395230321015271</v>
      </c>
      <c r="P39" s="143">
        <f t="shared" si="63"/>
        <v>0.16349884211756177</v>
      </c>
      <c r="Q39" s="143">
        <f t="shared" si="63"/>
        <v>9.4191912871542022E-2</v>
      </c>
      <c r="R39" s="143">
        <f t="shared" si="63"/>
        <v>0.14130763949259753</v>
      </c>
      <c r="S39" s="143">
        <f t="shared" si="63"/>
        <v>0.13941212598635458</v>
      </c>
      <c r="T39" s="143">
        <f t="shared" si="63"/>
        <v>0.13955055777676603</v>
      </c>
      <c r="U39" s="143">
        <f t="shared" si="63"/>
        <v>0.11560913964926689</v>
      </c>
      <c r="V39" s="143">
        <f t="shared" si="63"/>
        <v>8.3356734999531973E-2</v>
      </c>
      <c r="W39" s="143">
        <f t="shared" si="63"/>
        <v>0.13448951537328047</v>
      </c>
      <c r="X39" s="143">
        <f t="shared" si="63"/>
        <v>0.11310870341707346</v>
      </c>
      <c r="Y39" s="143">
        <f t="shared" si="63"/>
        <v>0.13366336633663367</v>
      </c>
      <c r="Z39" s="143">
        <f t="shared" si="63"/>
        <v>0.11070853462157811</v>
      </c>
      <c r="AA39" s="143">
        <f t="shared" si="63"/>
        <v>8.9490727112157789E-2</v>
      </c>
      <c r="AB39" s="382">
        <v>0.14000000000000001</v>
      </c>
      <c r="AC39" s="143">
        <f t="shared" si="63"/>
        <v>0.20419481698094183</v>
      </c>
      <c r="AD39" s="143">
        <f t="shared" ref="AD39" si="64">AD37/AD$14</f>
        <v>0.13398692810457516</v>
      </c>
      <c r="AE39" s="143">
        <f>AE37/AE$14</f>
        <v>0.11462882096069869</v>
      </c>
      <c r="AF39" s="134">
        <v>8.7499999999999994E-2</v>
      </c>
      <c r="AG39" s="134">
        <v>0.13750000000000001</v>
      </c>
      <c r="AH39" s="130"/>
      <c r="AI39" s="130"/>
      <c r="AJ39" s="130"/>
    </row>
    <row r="40" spans="2:36" x14ac:dyDescent="0.25">
      <c r="B40" t="s">
        <v>232</v>
      </c>
      <c r="C40" s="106"/>
      <c r="E40" s="107"/>
      <c r="F40" s="107"/>
      <c r="G40" s="107"/>
      <c r="H40" s="107"/>
      <c r="I40" s="127">
        <f>'Raw Input'!I19</f>
        <v>0</v>
      </c>
      <c r="J40" s="127">
        <f>'Raw Input'!J19</f>
        <v>0</v>
      </c>
      <c r="K40" s="127">
        <f>'Raw Input'!K19</f>
        <v>114.241</v>
      </c>
      <c r="L40" s="127">
        <f>'Raw Input'!L19</f>
        <v>22.728000000000002</v>
      </c>
      <c r="M40" s="127">
        <f>'Raw Input'!M19</f>
        <v>14.385999999999981</v>
      </c>
      <c r="N40" s="127">
        <f>'Raw Input'!N19</f>
        <v>151.35499999999999</v>
      </c>
      <c r="O40" s="127">
        <f>'Raw Input'!O19</f>
        <v>111.982</v>
      </c>
      <c r="P40" s="127">
        <f>'Raw Input'!P19</f>
        <v>562</v>
      </c>
      <c r="Q40" s="127">
        <f>'Raw Input'!Q19</f>
        <v>-465</v>
      </c>
      <c r="R40" s="127">
        <f>'Raw Input'!R19</f>
        <v>-96.132999999999953</v>
      </c>
      <c r="S40" s="127">
        <f>'Raw Input'!S19</f>
        <v>112.849</v>
      </c>
      <c r="T40" s="127">
        <f>'Raw Input'!T19</f>
        <v>317</v>
      </c>
      <c r="U40" s="127">
        <f>'Raw Input'!U19</f>
        <v>88.742999999999995</v>
      </c>
      <c r="V40" s="127">
        <f>'Raw Input'!V19</f>
        <v>52</v>
      </c>
      <c r="W40" s="127">
        <f>'Raw Input'!W19</f>
        <v>-368.74299999999999</v>
      </c>
      <c r="X40" s="127">
        <f>'Raw Input'!X19</f>
        <v>89</v>
      </c>
      <c r="Y40" s="127">
        <f>'Raw Input'!Y19</f>
        <v>0</v>
      </c>
      <c r="Z40" s="127">
        <f>'Raw Input'!Z19</f>
        <v>0</v>
      </c>
      <c r="AA40" s="127">
        <f>'Raw Input'!AA19</f>
        <v>0</v>
      </c>
      <c r="AB40" s="127">
        <f>'Raw Input'!AB19</f>
        <v>0</v>
      </c>
      <c r="AC40" s="127" t="str">
        <f>'Raw Input'!AC19</f>
        <v>-</v>
      </c>
      <c r="AD40" s="127">
        <f>'Raw Input'!AD19</f>
        <v>0</v>
      </c>
      <c r="AE40" s="134"/>
      <c r="AF40" s="134"/>
      <c r="AG40" s="134"/>
      <c r="AH40" s="142"/>
      <c r="AI40" s="142"/>
      <c r="AJ40" s="142"/>
    </row>
    <row r="41" spans="2:36" x14ac:dyDescent="0.25">
      <c r="B41" s="131" t="s">
        <v>118</v>
      </c>
      <c r="C41" s="106"/>
      <c r="E41" s="107"/>
      <c r="F41" s="107"/>
      <c r="G41" s="107"/>
      <c r="H41" s="107"/>
      <c r="I41" s="127"/>
      <c r="J41" s="146"/>
      <c r="K41" s="146"/>
      <c r="L41" s="146"/>
      <c r="M41" s="146"/>
      <c r="N41" s="134"/>
      <c r="O41" s="134" t="e">
        <f t="shared" ref="O41:Y41" si="65">O40/J40-1</f>
        <v>#DIV/0!</v>
      </c>
      <c r="P41" s="134">
        <f t="shared" si="65"/>
        <v>3.9194247249236263</v>
      </c>
      <c r="Q41" s="134">
        <f t="shared" si="65"/>
        <v>-21.459345300950368</v>
      </c>
      <c r="R41" s="134">
        <f t="shared" si="65"/>
        <v>-7.682399555123042</v>
      </c>
      <c r="S41" s="134">
        <f t="shared" si="65"/>
        <v>-0.25440850979485308</v>
      </c>
      <c r="T41" s="134">
        <f t="shared" si="65"/>
        <v>1.8308120948009501</v>
      </c>
      <c r="U41" s="134">
        <f t="shared" si="65"/>
        <v>-0.84209430604982205</v>
      </c>
      <c r="V41" s="134">
        <f t="shared" si="65"/>
        <v>-1.1118279569892473</v>
      </c>
      <c r="W41" s="134">
        <f t="shared" si="65"/>
        <v>2.8357587925062173</v>
      </c>
      <c r="X41" s="134">
        <f t="shared" si="65"/>
        <v>-0.21133550142225455</v>
      </c>
      <c r="Y41" s="134">
        <f t="shared" si="65"/>
        <v>-1</v>
      </c>
      <c r="Z41" s="134">
        <f t="shared" ref="Z41" si="66">Z40/U40-1</f>
        <v>-1</v>
      </c>
      <c r="AA41" s="134">
        <f>AA40/V40-1</f>
        <v>-1</v>
      </c>
      <c r="AB41" s="134">
        <f t="shared" ref="AB41" si="67">AB40/W40-1</f>
        <v>-1</v>
      </c>
      <c r="AC41" s="134"/>
      <c r="AD41" s="134" t="e">
        <f>AD40/Y40-1</f>
        <v>#DIV/0!</v>
      </c>
      <c r="AE41" s="134"/>
      <c r="AF41" s="134"/>
      <c r="AG41" s="134"/>
      <c r="AH41" s="142"/>
      <c r="AI41" s="142"/>
      <c r="AJ41" s="142"/>
    </row>
    <row r="42" spans="2:36" x14ac:dyDescent="0.25">
      <c r="B42" s="131" t="s">
        <v>120</v>
      </c>
      <c r="C42" s="106"/>
      <c r="E42" s="107"/>
      <c r="F42" s="107"/>
      <c r="G42" s="107"/>
      <c r="H42" s="107"/>
      <c r="I42" s="143"/>
      <c r="J42" s="143">
        <f t="shared" ref="J42:M42" si="68">J40/J$14</f>
        <v>0</v>
      </c>
      <c r="K42" s="143">
        <f t="shared" si="68"/>
        <v>0.34124812560115181</v>
      </c>
      <c r="L42" s="143">
        <f t="shared" si="68"/>
        <v>1.6931740382960688E-2</v>
      </c>
      <c r="M42" s="143">
        <f t="shared" si="68"/>
        <v>1.6742235215253962E-2</v>
      </c>
      <c r="N42" s="143">
        <f t="shared" ref="N42:AB42" si="69">N40/N$14</f>
        <v>4.4803458884452925E-2</v>
      </c>
      <c r="O42" s="143">
        <f t="shared" si="69"/>
        <v>0.12625713692983484</v>
      </c>
      <c r="P42" s="143">
        <f t="shared" si="69"/>
        <v>0.42091198595562002</v>
      </c>
      <c r="Q42" s="143">
        <f t="shared" si="69"/>
        <v>-0.20782754514997553</v>
      </c>
      <c r="R42" s="143">
        <f t="shared" si="69"/>
        <v>-6.2741972959073078E-2</v>
      </c>
      <c r="S42" s="143">
        <f t="shared" si="69"/>
        <v>1.8834032070710442E-2</v>
      </c>
      <c r="T42" s="143">
        <f t="shared" si="69"/>
        <v>0.21008166676276083</v>
      </c>
      <c r="U42" s="143">
        <f t="shared" si="69"/>
        <v>4.2176087052607114E-2</v>
      </c>
      <c r="V42" s="143">
        <f t="shared" si="69"/>
        <v>1.8027950256724948E-2</v>
      </c>
      <c r="W42" s="143">
        <f t="shared" si="69"/>
        <v>-0.19391747556987837</v>
      </c>
      <c r="X42" s="143">
        <f t="shared" si="69"/>
        <v>1.0596499583283724E-2</v>
      </c>
      <c r="Y42" s="143">
        <f t="shared" si="69"/>
        <v>0</v>
      </c>
      <c r="Z42" s="143">
        <f t="shared" si="69"/>
        <v>0</v>
      </c>
      <c r="AA42" s="143">
        <f t="shared" si="69"/>
        <v>0</v>
      </c>
      <c r="AB42" s="143">
        <f t="shared" si="69"/>
        <v>0</v>
      </c>
      <c r="AC42" s="143"/>
      <c r="AD42" s="143">
        <f t="shared" ref="AD42" si="70">AD40/AD$14</f>
        <v>0</v>
      </c>
      <c r="AE42" s="128"/>
      <c r="AF42" s="128"/>
      <c r="AG42" s="128"/>
      <c r="AH42" s="130"/>
      <c r="AI42" s="130"/>
      <c r="AJ42" s="130"/>
    </row>
    <row r="43" spans="2:36" x14ac:dyDescent="0.25">
      <c r="B43" s="1" t="s">
        <v>124</v>
      </c>
      <c r="C43" s="106"/>
      <c r="E43" s="107"/>
      <c r="F43" s="107"/>
      <c r="G43" s="107"/>
      <c r="H43" s="107"/>
      <c r="I43" s="127">
        <f>'Raw Input'!I20</f>
        <v>5306.7820000000002</v>
      </c>
      <c r="J43" s="127">
        <f>'Raw Input'!J20</f>
        <v>1167.319</v>
      </c>
      <c r="K43" s="127">
        <f>'Raw Input'!K20</f>
        <v>917.98900000000003</v>
      </c>
      <c r="L43" s="127">
        <f>'Raw Input'!L20</f>
        <v>923.59400000000005</v>
      </c>
      <c r="M43" s="127">
        <f>'Raw Input'!M20</f>
        <v>3959.4439999999991</v>
      </c>
      <c r="N43" s="127">
        <f>'Raw Input'!N20</f>
        <v>6968.3459999999995</v>
      </c>
      <c r="O43" s="127">
        <f>'Raw Input'!O20</f>
        <v>1333.8810000000001</v>
      </c>
      <c r="P43" s="127">
        <f>'Raw Input'!P20</f>
        <v>1386.4739999999999</v>
      </c>
      <c r="Q43" s="127">
        <f>'Raw Input'!Q20</f>
        <v>1385.4590000000001</v>
      </c>
      <c r="R43" s="127">
        <f>'Raw Input'!R20</f>
        <v>1456.6290000000001</v>
      </c>
      <c r="S43" s="127">
        <f>'Raw Input'!S20</f>
        <v>5562.4430000000002</v>
      </c>
      <c r="T43" s="127">
        <f>'Raw Input'!T20</f>
        <v>1514.068</v>
      </c>
      <c r="U43" s="127">
        <f>'Raw Input'!U20</f>
        <v>1735.2840000000001</v>
      </c>
      <c r="V43" s="127">
        <f>'Raw Input'!V20</f>
        <v>1680.9290000000001</v>
      </c>
      <c r="W43" s="127">
        <f>'Raw Input'!W20</f>
        <v>1666.7189999999998</v>
      </c>
      <c r="X43" s="127">
        <f>'Raw Input'!X20</f>
        <v>6597</v>
      </c>
      <c r="Y43" s="127">
        <f>'Raw Input'!Y20</f>
        <v>1823</v>
      </c>
      <c r="Z43" s="127">
        <f>'Raw Input'!Z20</f>
        <v>1961</v>
      </c>
      <c r="AA43" s="127">
        <f>'Raw Input'!AA20</f>
        <v>1901</v>
      </c>
      <c r="AB43" s="128">
        <f>AB37+AB34+AB31+AB28+AB20</f>
        <v>2714</v>
      </c>
      <c r="AC43" s="127">
        <f>'Raw Input'!AC20</f>
        <v>8399</v>
      </c>
      <c r="AD43" s="127">
        <f>'Raw Input'!AD20</f>
        <v>2041</v>
      </c>
      <c r="AE43" s="128">
        <f>AE37+AE34+AE31+AE28+AE20</f>
        <v>2251</v>
      </c>
      <c r="AF43" s="128">
        <f>AF37+AF34+AF31+AF28+AF20</f>
        <v>2154.0654249999998</v>
      </c>
      <c r="AG43" s="128">
        <f>AG37+AG34+AG31+AG28+AG20</f>
        <v>2008.4918749999995</v>
      </c>
      <c r="AH43" s="381">
        <f>SUM(AD43:AG43)</f>
        <v>8454.5572999999986</v>
      </c>
      <c r="AI43" s="130"/>
      <c r="AJ43" s="130"/>
    </row>
    <row r="44" spans="2:36" x14ac:dyDescent="0.25">
      <c r="B44" s="131" t="s">
        <v>118</v>
      </c>
      <c r="C44" s="106"/>
      <c r="E44" s="107"/>
      <c r="F44" s="107"/>
      <c r="G44" s="107"/>
      <c r="H44" s="107"/>
      <c r="I44" s="127"/>
      <c r="J44" s="146"/>
      <c r="K44" s="146"/>
      <c r="L44" s="146"/>
      <c r="M44" s="146"/>
      <c r="N44" s="134">
        <f t="shared" ref="N44:Y44" si="71">N43/I43-1</f>
        <v>0.3131019891150606</v>
      </c>
      <c r="O44" s="134">
        <f t="shared" si="71"/>
        <v>0.1426876457934807</v>
      </c>
      <c r="P44" s="134">
        <f t="shared" si="71"/>
        <v>0.51033835917423831</v>
      </c>
      <c r="Q44" s="134">
        <f t="shared" si="71"/>
        <v>0.50007362542415823</v>
      </c>
      <c r="R44" s="134">
        <f t="shared" si="71"/>
        <v>-0.63211274108182858</v>
      </c>
      <c r="S44" s="134">
        <f t="shared" si="71"/>
        <v>-0.20175562464894814</v>
      </c>
      <c r="T44" s="134">
        <f t="shared" si="71"/>
        <v>0.13508476393321445</v>
      </c>
      <c r="U44" s="134">
        <f t="shared" si="71"/>
        <v>0.25158062826998573</v>
      </c>
      <c r="V44" s="134">
        <f t="shared" si="71"/>
        <v>0.21326506233674181</v>
      </c>
      <c r="W44" s="134">
        <f t="shared" si="71"/>
        <v>0.14423027414667677</v>
      </c>
      <c r="X44" s="134">
        <f t="shared" si="71"/>
        <v>0.18598968115268777</v>
      </c>
      <c r="Y44" s="134">
        <f t="shared" si="71"/>
        <v>0.20404103382410832</v>
      </c>
      <c r="Z44" s="134">
        <f t="shared" ref="Z44" si="72">Z43/U43-1</f>
        <v>0.13007438551845119</v>
      </c>
      <c r="AA44" s="134">
        <f>AA43/V43-1</f>
        <v>0.1309222459723165</v>
      </c>
      <c r="AB44" s="134">
        <f t="shared" ref="AB44" si="73">AB43/W43-1</f>
        <v>0.6283488698454871</v>
      </c>
      <c r="AC44" s="134">
        <f>AC43/X43-1</f>
        <v>0.27315446415037137</v>
      </c>
      <c r="AD44" s="134">
        <f>AD43/Y43-1</f>
        <v>0.11958310477235323</v>
      </c>
      <c r="AE44" s="134">
        <f>AE43/Z43-1</f>
        <v>0.14788373278939315</v>
      </c>
      <c r="AF44" s="134">
        <f t="shared" ref="AF44" si="74">AF43/AA43-1</f>
        <v>0.13312226459758003</v>
      </c>
      <c r="AG44" s="134">
        <f t="shared" ref="AG44" si="75">AG43/AB43-1</f>
        <v>-0.25995140935888006</v>
      </c>
      <c r="AH44" s="134">
        <f t="shared" ref="AH44" si="76">AH43/AC43-1</f>
        <v>6.614751756161219E-3</v>
      </c>
      <c r="AI44" s="130"/>
      <c r="AJ44" s="130"/>
    </row>
    <row r="45" spans="2:36" x14ac:dyDescent="0.25">
      <c r="B45" s="131" t="s">
        <v>120</v>
      </c>
      <c r="C45" s="106"/>
      <c r="E45" s="107"/>
      <c r="F45" s="107"/>
      <c r="G45" s="107"/>
      <c r="H45" s="107"/>
      <c r="I45" s="143">
        <f>I43/I$14</f>
        <v>1.1043742049042724</v>
      </c>
      <c r="J45" s="143">
        <f t="shared" ref="J45:M45" si="77">J43/J$14</f>
        <v>1.3866445719444542</v>
      </c>
      <c r="K45" s="143">
        <f t="shared" si="77"/>
        <v>2.7421155764784602</v>
      </c>
      <c r="L45" s="143">
        <f t="shared" si="77"/>
        <v>0.68805235072422533</v>
      </c>
      <c r="M45" s="143">
        <f t="shared" si="77"/>
        <v>4.6079481975271852</v>
      </c>
      <c r="N45" s="143">
        <f t="shared" ref="N45:AB45" si="78">N43/N$14</f>
        <v>2.0627399392398136</v>
      </c>
      <c r="O45" s="143">
        <f t="shared" si="78"/>
        <v>1.5039202377623639</v>
      </c>
      <c r="P45" s="143">
        <f t="shared" si="78"/>
        <v>1.0384048484267479</v>
      </c>
      <c r="Q45" s="143">
        <f t="shared" si="78"/>
        <v>0.61921837177621497</v>
      </c>
      <c r="R45" s="143">
        <f t="shared" si="78"/>
        <v>0.95068059177807529</v>
      </c>
      <c r="S45" s="143">
        <f t="shared" si="78"/>
        <v>0.92834876563814306</v>
      </c>
      <c r="T45" s="143">
        <f t="shared" si="78"/>
        <v>1.0034004070415135</v>
      </c>
      <c r="U45" s="143">
        <f t="shared" si="78"/>
        <v>0.82471281165834254</v>
      </c>
      <c r="V45" s="143">
        <f t="shared" si="78"/>
        <v>0.58276354609781555</v>
      </c>
      <c r="W45" s="143">
        <f t="shared" si="78"/>
        <v>0.87650732614409521</v>
      </c>
      <c r="X45" s="143">
        <f t="shared" si="78"/>
        <v>0.78545064888677218</v>
      </c>
      <c r="Y45" s="143">
        <f t="shared" si="78"/>
        <v>1.0027502750275028</v>
      </c>
      <c r="Z45" s="143">
        <f t="shared" si="78"/>
        <v>0.78945249597423506</v>
      </c>
      <c r="AA45" s="143">
        <f t="shared" si="78"/>
        <v>0.55961142184280244</v>
      </c>
      <c r="AB45" s="143">
        <f t="shared" si="78"/>
        <v>1.2236248872858431</v>
      </c>
      <c r="AC45" s="143">
        <f>AC43/AC$14</f>
        <v>0.84692951497428659</v>
      </c>
      <c r="AD45" s="143">
        <f t="shared" ref="AD45:AH45" si="79">AD43/AD$14</f>
        <v>0.95284780578898221</v>
      </c>
      <c r="AE45" s="143">
        <f t="shared" si="79"/>
        <v>0.8191411935953421</v>
      </c>
      <c r="AF45" s="143">
        <f t="shared" si="79"/>
        <v>0.56749999999999989</v>
      </c>
      <c r="AG45" s="143">
        <f t="shared" si="79"/>
        <v>0.81249999999999989</v>
      </c>
      <c r="AH45" s="143">
        <f t="shared" si="79"/>
        <v>0.75773298260394162</v>
      </c>
      <c r="AI45" s="130"/>
      <c r="AJ45" s="130"/>
    </row>
    <row r="46" spans="2:36" x14ac:dyDescent="0.25">
      <c r="B46" s="135" t="s">
        <v>103</v>
      </c>
      <c r="C46" s="136"/>
      <c r="D46" s="135"/>
      <c r="E46" s="137"/>
      <c r="F46" s="137"/>
      <c r="G46" s="137"/>
      <c r="H46" s="137"/>
      <c r="I46" s="138">
        <f>'Raw Input'!I22</f>
        <v>-501.54300000000001</v>
      </c>
      <c r="J46" s="138">
        <f t="shared" ref="J46:M46" si="80">J14-J43</f>
        <v>-325.48899999999992</v>
      </c>
      <c r="K46" s="138">
        <f t="shared" si="80"/>
        <v>-583.21500000000003</v>
      </c>
      <c r="L46" s="138">
        <f t="shared" si="80"/>
        <v>418.73699999999985</v>
      </c>
      <c r="M46" s="138">
        <f t="shared" si="80"/>
        <v>-3100.1799999999989</v>
      </c>
      <c r="N46" s="138">
        <f>'Raw Input'!N22</f>
        <v>-3590.1469999999999</v>
      </c>
      <c r="O46" s="138">
        <f t="shared" ref="O46:AA46" si="81">O14-O43</f>
        <v>-446.94500000000005</v>
      </c>
      <c r="P46" s="138">
        <f t="shared" si="81"/>
        <v>-51.27800000000002</v>
      </c>
      <c r="Q46" s="138">
        <f t="shared" si="81"/>
        <v>851.97299999999973</v>
      </c>
      <c r="R46" s="138">
        <f t="shared" si="81"/>
        <v>75.567000000000235</v>
      </c>
      <c r="S46" s="138">
        <f>'Raw Input'!S22</f>
        <v>429.31700000000001</v>
      </c>
      <c r="T46" s="138">
        <f t="shared" si="81"/>
        <v>-5.1310000000000855</v>
      </c>
      <c r="U46" s="138">
        <f t="shared" si="81"/>
        <v>368.82299999999987</v>
      </c>
      <c r="V46" s="138">
        <f t="shared" si="81"/>
        <v>1203.4809999999998</v>
      </c>
      <c r="W46" s="138">
        <f t="shared" si="81"/>
        <v>234.82700000000045</v>
      </c>
      <c r="X46" s="138">
        <f>'Raw Input'!X22</f>
        <v>1802</v>
      </c>
      <c r="Y46" s="138">
        <f t="shared" si="81"/>
        <v>-5</v>
      </c>
      <c r="Z46" s="138">
        <f t="shared" si="81"/>
        <v>523</v>
      </c>
      <c r="AA46" s="138">
        <f t="shared" si="81"/>
        <v>1496</v>
      </c>
      <c r="AB46" s="383">
        <f>AB14-AB43</f>
        <v>-496</v>
      </c>
      <c r="AC46" s="383">
        <f>SUM(Y46:AB46)</f>
        <v>1518</v>
      </c>
      <c r="AD46" s="138">
        <f>AD14-AD43</f>
        <v>101</v>
      </c>
      <c r="AE46" s="139">
        <f>AE14-AE43</f>
        <v>497</v>
      </c>
      <c r="AF46" s="139">
        <f>AF14-AF43</f>
        <v>1641.6445750000003</v>
      </c>
      <c r="AG46" s="139">
        <f>AG14-AG43</f>
        <v>463.4981250000003</v>
      </c>
      <c r="AH46" s="141">
        <f>SUM(AD46:AG46)</f>
        <v>2703.1427000000003</v>
      </c>
      <c r="AI46" s="141">
        <f>AI48*AI14</f>
        <v>3278.1322599999994</v>
      </c>
      <c r="AJ46" s="141">
        <f>AJ48*AJ14</f>
        <v>3846.7621250999987</v>
      </c>
    </row>
    <row r="47" spans="2:36" x14ac:dyDescent="0.25">
      <c r="B47" s="131" t="s">
        <v>118</v>
      </c>
      <c r="C47" s="106"/>
      <c r="E47" s="107"/>
      <c r="F47" s="107"/>
      <c r="G47" s="107"/>
      <c r="H47" s="107"/>
      <c r="I47" s="127"/>
      <c r="J47" s="146"/>
      <c r="K47" s="146"/>
      <c r="L47" s="146"/>
      <c r="M47" s="146"/>
      <c r="N47" s="134">
        <f t="shared" ref="N47:Y47" si="82">N46/I46-1</f>
        <v>6.1582037831252752</v>
      </c>
      <c r="O47" s="134">
        <f t="shared" si="82"/>
        <v>0.37314932301859716</v>
      </c>
      <c r="P47" s="134">
        <f t="shared" si="82"/>
        <v>-0.91207702133861435</v>
      </c>
      <c r="Q47" s="134">
        <f t="shared" si="82"/>
        <v>1.0346255525544676</v>
      </c>
      <c r="R47" s="134">
        <f t="shared" si="82"/>
        <v>-1.0243750362882156</v>
      </c>
      <c r="S47" s="134">
        <f t="shared" si="82"/>
        <v>-1.1195820115443742</v>
      </c>
      <c r="T47" s="134">
        <f t="shared" si="82"/>
        <v>-0.98851984024880002</v>
      </c>
      <c r="U47" s="134">
        <f t="shared" si="82"/>
        <v>-8.1926167167206145</v>
      </c>
      <c r="V47" s="134">
        <f t="shared" si="82"/>
        <v>0.41258114987212058</v>
      </c>
      <c r="W47" s="134">
        <f t="shared" si="82"/>
        <v>2.1075337118054143</v>
      </c>
      <c r="X47" s="134">
        <f t="shared" si="82"/>
        <v>3.1973646512949641</v>
      </c>
      <c r="Y47" s="134">
        <f t="shared" si="82"/>
        <v>-2.5531085558386901E-2</v>
      </c>
      <c r="Z47" s="134">
        <f t="shared" ref="Z47" si="83">Z46/U46-1</f>
        <v>0.41802436399031562</v>
      </c>
      <c r="AA47" s="134">
        <f>AA46/V46-1</f>
        <v>0.24306075459438103</v>
      </c>
      <c r="AB47" s="134">
        <f t="shared" ref="AB47" si="84">AB46/W46-1</f>
        <v>-3.1121932316130558</v>
      </c>
      <c r="AC47" s="134">
        <f>AC46/X46-1</f>
        <v>-0.15760266370699227</v>
      </c>
      <c r="AD47" s="134">
        <f t="shared" ref="AD47:AF47" si="85">AD46/Y46-1</f>
        <v>-21.2</v>
      </c>
      <c r="AE47" s="134">
        <f>AE46/Z46-1</f>
        <v>-4.9713193116634802E-2</v>
      </c>
      <c r="AF47" s="134">
        <f t="shared" si="85"/>
        <v>9.7355999331550924E-2</v>
      </c>
      <c r="AG47" s="134">
        <f>AG46/AB46-1</f>
        <v>-1.934472026209678</v>
      </c>
      <c r="AH47" s="134">
        <f>AH46/AC46-1</f>
        <v>0.78072641633728601</v>
      </c>
      <c r="AI47" s="142"/>
      <c r="AJ47" s="142"/>
    </row>
    <row r="48" spans="2:36" s="152" customFormat="1" x14ac:dyDescent="0.25">
      <c r="B48" s="150" t="s">
        <v>125</v>
      </c>
      <c r="I48" s="363">
        <f>I46/I$14</f>
        <v>-0.1043742049042722</v>
      </c>
      <c r="J48" s="363">
        <f t="shared" ref="J48:M48" si="86">J46/J$14</f>
        <v>-0.38664457194445423</v>
      </c>
      <c r="K48" s="363">
        <f t="shared" si="86"/>
        <v>-1.7421155764784602</v>
      </c>
      <c r="L48" s="363">
        <f t="shared" si="86"/>
        <v>0.31194764927577467</v>
      </c>
      <c r="M48" s="363">
        <f t="shared" si="86"/>
        <v>-3.6079481975271848</v>
      </c>
      <c r="N48" s="363">
        <f t="shared" ref="N48:AB48" si="87">N46/N$14</f>
        <v>-1.0627399392398138</v>
      </c>
      <c r="O48" s="363">
        <f t="shared" si="87"/>
        <v>-0.50392023776236394</v>
      </c>
      <c r="P48" s="363">
        <f t="shared" si="87"/>
        <v>-3.8404848426747851E-2</v>
      </c>
      <c r="Q48" s="363">
        <f t="shared" si="87"/>
        <v>0.38078162822378503</v>
      </c>
      <c r="R48" s="363">
        <f t="shared" si="87"/>
        <v>4.9319408221924751E-2</v>
      </c>
      <c r="S48" s="363">
        <f t="shared" si="87"/>
        <v>7.1651234361856955E-2</v>
      </c>
      <c r="T48" s="363">
        <f t="shared" si="87"/>
        <v>-3.4004070415133872E-3</v>
      </c>
      <c r="U48" s="363">
        <f t="shared" si="87"/>
        <v>0.17528718834165746</v>
      </c>
      <c r="V48" s="363">
        <f t="shared" si="87"/>
        <v>0.41723645390218445</v>
      </c>
      <c r="W48" s="363">
        <f t="shared" si="87"/>
        <v>0.12349267385590483</v>
      </c>
      <c r="X48" s="363">
        <f t="shared" si="87"/>
        <v>0.21454935111322776</v>
      </c>
      <c r="Y48" s="363">
        <f t="shared" si="87"/>
        <v>-2.7502750275027505E-3</v>
      </c>
      <c r="Z48" s="363">
        <f t="shared" si="87"/>
        <v>0.21054750402576489</v>
      </c>
      <c r="AA48" s="363">
        <f t="shared" si="87"/>
        <v>0.44038857815719751</v>
      </c>
      <c r="AB48" s="363">
        <f t="shared" si="87"/>
        <v>-0.22362488728584309</v>
      </c>
      <c r="AC48" s="363">
        <f>AC46/AC$14</f>
        <v>0.15307048502571341</v>
      </c>
      <c r="AD48" s="363">
        <f t="shared" ref="AD48" si="88">AD46/AD$14</f>
        <v>4.7152194211017739E-2</v>
      </c>
      <c r="AE48" s="363">
        <f>AE46/AE$14</f>
        <v>0.18085880640465793</v>
      </c>
      <c r="AF48" s="363">
        <f t="shared" ref="AF48:AG48" si="89">AF46/AF$14</f>
        <v>0.43250000000000005</v>
      </c>
      <c r="AG48" s="363">
        <f t="shared" si="89"/>
        <v>0.18750000000000014</v>
      </c>
      <c r="AH48" s="363">
        <f>AH46/AH$14</f>
        <v>0.24226701739605838</v>
      </c>
      <c r="AI48" s="368">
        <v>0.26</v>
      </c>
      <c r="AJ48" s="368">
        <v>0.27</v>
      </c>
    </row>
    <row r="49" spans="2:38" x14ac:dyDescent="0.25">
      <c r="B49" s="158" t="s">
        <v>129</v>
      </c>
      <c r="C49" s="106"/>
      <c r="E49" s="107"/>
      <c r="F49" s="107"/>
      <c r="G49" s="107"/>
      <c r="H49" s="107"/>
      <c r="I49" s="144"/>
      <c r="J49" s="144"/>
      <c r="K49" s="144"/>
      <c r="L49" s="144"/>
      <c r="M49" s="144"/>
      <c r="N49" s="376"/>
      <c r="O49" s="376"/>
      <c r="P49" s="376"/>
      <c r="Q49" s="376"/>
      <c r="R49" s="376"/>
      <c r="S49" s="144"/>
      <c r="T49" s="144"/>
      <c r="U49" s="144"/>
      <c r="V49" s="144"/>
      <c r="W49" s="144"/>
      <c r="X49" s="144"/>
      <c r="Y49" s="144"/>
      <c r="Z49" s="144"/>
      <c r="AA49" s="144"/>
      <c r="AB49" s="144"/>
      <c r="AC49" s="144"/>
      <c r="AD49" s="144"/>
      <c r="AE49" s="144"/>
      <c r="AF49" s="144"/>
      <c r="AG49" s="144"/>
      <c r="AH49" s="393">
        <v>2682</v>
      </c>
      <c r="AI49" s="393">
        <v>3208</v>
      </c>
      <c r="AJ49" s="393">
        <v>3832</v>
      </c>
    </row>
    <row r="50" spans="2:38" s="152" customFormat="1" x14ac:dyDescent="0.25">
      <c r="B50" s="150"/>
      <c r="I50" s="363"/>
      <c r="J50" s="363"/>
      <c r="K50" s="363"/>
      <c r="L50" s="363"/>
      <c r="M50" s="363"/>
      <c r="N50" s="363"/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  <c r="AA50" s="363"/>
      <c r="AB50" s="363"/>
      <c r="AC50" s="363"/>
      <c r="AD50" s="363"/>
      <c r="AE50" s="367"/>
      <c r="AF50" s="367"/>
      <c r="AG50" s="367"/>
      <c r="AH50" s="363"/>
      <c r="AI50" s="368"/>
      <c r="AJ50" s="368"/>
    </row>
    <row r="51" spans="2:38" s="1" customFormat="1" x14ac:dyDescent="0.25">
      <c r="B51" t="s">
        <v>234</v>
      </c>
      <c r="C51" s="117"/>
      <c r="E51" s="118"/>
      <c r="F51" s="118"/>
      <c r="G51" s="118"/>
      <c r="H51" s="118"/>
      <c r="I51" s="127">
        <f>'Raw Input'!I23</f>
        <v>85.902000000000001</v>
      </c>
      <c r="J51" s="127">
        <f>'Raw Input'!J23</f>
        <v>13.648999999999999</v>
      </c>
      <c r="K51" s="127">
        <f>'Raw Input'!K23</f>
        <v>5.8559999999999999</v>
      </c>
      <c r="L51" s="127">
        <f>'Raw Input'!L23</f>
        <v>4.3250000000000002</v>
      </c>
      <c r="M51" s="127">
        <f>'Raw Input'!M23</f>
        <v>3.2870000000000008</v>
      </c>
      <c r="N51" s="127">
        <f>'Raw Input'!N23</f>
        <v>27.117000000000001</v>
      </c>
      <c r="O51" s="127">
        <f>'Raw Input'!O23</f>
        <v>3.052</v>
      </c>
      <c r="P51" s="127">
        <f>'Raw Input'!P23</f>
        <v>2.9420000000000002</v>
      </c>
      <c r="Q51" s="127">
        <f>'Raw Input'!Q23</f>
        <v>2.9620000000000002</v>
      </c>
      <c r="R51" s="127">
        <f>'Raw Input'!R23</f>
        <v>3.778</v>
      </c>
      <c r="S51" s="127">
        <f>'Raw Input'!S23</f>
        <v>12.734</v>
      </c>
      <c r="T51" s="127">
        <f>'Raw Input'!T23</f>
        <v>4.7439999999999998</v>
      </c>
      <c r="U51" s="127">
        <f>'Raw Input'!U23</f>
        <v>20.247</v>
      </c>
      <c r="V51" s="127">
        <f>'Raw Input'!V23</f>
        <v>58.457000000000001</v>
      </c>
      <c r="W51" s="127">
        <f>'Raw Input'!W23</f>
        <v>102.55200000000001</v>
      </c>
      <c r="X51" s="127">
        <f>'Raw Input'!X23</f>
        <v>186</v>
      </c>
      <c r="Y51" s="127">
        <f>'Raw Input'!Y23</f>
        <v>146</v>
      </c>
      <c r="Z51" s="127">
        <f>'Raw Input'!Z23</f>
        <v>191</v>
      </c>
      <c r="AA51" s="127">
        <f>'Raw Input'!AA23</f>
        <v>192</v>
      </c>
      <c r="AB51" s="127">
        <f>'Raw Input'!AB23</f>
        <v>192</v>
      </c>
      <c r="AC51" s="127">
        <f>'Raw Input'!AC23</f>
        <v>721</v>
      </c>
      <c r="AD51" s="127">
        <f>'Raw Input'!AD23</f>
        <v>202</v>
      </c>
      <c r="AE51" s="127">
        <v>226</v>
      </c>
      <c r="AF51" s="127">
        <f>AF53*AF14</f>
        <v>284.94876268909172</v>
      </c>
      <c r="AG51" s="127">
        <f>AG53*AG14</f>
        <v>185.57542380208389</v>
      </c>
      <c r="AH51" s="389">
        <f>SUM(AD51:AG51)</f>
        <v>898.52418649117567</v>
      </c>
      <c r="AI51" s="130"/>
      <c r="AJ51" s="130"/>
    </row>
    <row r="52" spans="2:38" s="1" customFormat="1" x14ac:dyDescent="0.25">
      <c r="B52" s="131" t="s">
        <v>118</v>
      </c>
      <c r="C52" s="151"/>
      <c r="D52" s="152"/>
      <c r="E52" s="153"/>
      <c r="F52" s="153"/>
      <c r="G52" s="153"/>
      <c r="H52" s="153"/>
      <c r="I52" s="127"/>
      <c r="J52" s="146"/>
      <c r="K52" s="146"/>
      <c r="L52" s="146"/>
      <c r="M52" s="146"/>
      <c r="N52" s="134">
        <f t="shared" ref="N52:Y52" si="90">N51/I51-1</f>
        <v>-0.68432632534748894</v>
      </c>
      <c r="O52" s="134">
        <f t="shared" si="90"/>
        <v>-0.77639387500915813</v>
      </c>
      <c r="P52" s="134">
        <f t="shared" si="90"/>
        <v>-0.49760928961748629</v>
      </c>
      <c r="Q52" s="134">
        <f t="shared" si="90"/>
        <v>-0.31514450867052024</v>
      </c>
      <c r="R52" s="134">
        <f t="shared" si="90"/>
        <v>0.14937633100091241</v>
      </c>
      <c r="S52" s="134">
        <f t="shared" si="90"/>
        <v>-0.53040528082014982</v>
      </c>
      <c r="T52" s="134">
        <f t="shared" si="90"/>
        <v>0.55439056356487537</v>
      </c>
      <c r="U52" s="134">
        <f t="shared" si="90"/>
        <v>5.882053025152957</v>
      </c>
      <c r="V52" s="134">
        <f t="shared" si="90"/>
        <v>18.735651586765698</v>
      </c>
      <c r="W52" s="134">
        <f t="shared" si="90"/>
        <v>26.144520910534677</v>
      </c>
      <c r="X52" s="134">
        <f t="shared" si="90"/>
        <v>13.606565101303596</v>
      </c>
      <c r="Y52" s="134">
        <f t="shared" si="90"/>
        <v>29.775716694772346</v>
      </c>
      <c r="Z52" s="134">
        <f t="shared" ref="Z52" si="91">Z51/U51-1</f>
        <v>8.4334963204425346</v>
      </c>
      <c r="AA52" s="134">
        <f>AA51/V51-1</f>
        <v>2.2844655045589066</v>
      </c>
      <c r="AB52" s="134">
        <f t="shared" ref="AB52" si="92">AB51/W51-1</f>
        <v>0.87222092206880397</v>
      </c>
      <c r="AC52" s="134">
        <f>AC51/X51-1</f>
        <v>2.8763440860215055</v>
      </c>
      <c r="AD52" s="134">
        <f>AD51/Y51-1</f>
        <v>0.38356164383561642</v>
      </c>
      <c r="AE52" s="134">
        <f>AE51/Z51-1</f>
        <v>0.18324607329842935</v>
      </c>
      <c r="AF52" s="134">
        <f t="shared" ref="AF52:AH52" si="93">AF51/AA51-1</f>
        <v>0.48410813900568606</v>
      </c>
      <c r="AG52" s="134">
        <f t="shared" si="93"/>
        <v>-3.3461334364146444E-2</v>
      </c>
      <c r="AH52" s="134">
        <f t="shared" si="93"/>
        <v>0.24621939873949472</v>
      </c>
      <c r="AI52" s="154"/>
      <c r="AJ52" s="154"/>
    </row>
    <row r="53" spans="2:38" s="1" customFormat="1" x14ac:dyDescent="0.25">
      <c r="B53" s="131" t="s">
        <v>120</v>
      </c>
      <c r="C53" s="151"/>
      <c r="D53" s="152"/>
      <c r="E53" s="153"/>
      <c r="F53" s="153"/>
      <c r="G53" s="153"/>
      <c r="H53" s="153"/>
      <c r="I53" s="143">
        <f>I51/I$14</f>
        <v>1.7876738285025992E-2</v>
      </c>
      <c r="J53" s="143">
        <f t="shared" ref="J53:M53" si="94">J51/J$14</f>
        <v>1.6213487283655844E-2</v>
      </c>
      <c r="K53" s="143">
        <f t="shared" si="94"/>
        <v>1.7492397856464361E-2</v>
      </c>
      <c r="L53" s="143">
        <f t="shared" si="94"/>
        <v>3.2220070906505182E-3</v>
      </c>
      <c r="M53" s="143">
        <f t="shared" si="94"/>
        <v>3.8253668255623426E-3</v>
      </c>
      <c r="N53" s="143">
        <f t="shared" ref="N53:AB53" si="95">N51/N$14</f>
        <v>8.027058204682436E-3</v>
      </c>
      <c r="O53" s="143">
        <f t="shared" si="95"/>
        <v>3.4410600088394202E-3</v>
      </c>
      <c r="P53" s="143">
        <f t="shared" si="95"/>
        <v>2.2034218197178545E-3</v>
      </c>
      <c r="Q53" s="143">
        <f t="shared" si="95"/>
        <v>1.3238391155574786E-3</v>
      </c>
      <c r="R53" s="143">
        <f t="shared" si="95"/>
        <v>2.4657419807909689E-3</v>
      </c>
      <c r="S53" s="143">
        <f t="shared" si="95"/>
        <v>2.1252520127641962E-3</v>
      </c>
      <c r="T53" s="143">
        <f t="shared" si="95"/>
        <v>3.1439351013329252E-3</v>
      </c>
      <c r="U53" s="143">
        <f t="shared" si="95"/>
        <v>9.6226094965702787E-3</v>
      </c>
      <c r="V53" s="143">
        <f t="shared" si="95"/>
        <v>2.0266536310718657E-2</v>
      </c>
      <c r="W53" s="143">
        <f t="shared" si="95"/>
        <v>5.393085415761701E-2</v>
      </c>
      <c r="X53" s="143">
        <f t="shared" si="95"/>
        <v>2.2145493511132278E-2</v>
      </c>
      <c r="Y53" s="143">
        <f t="shared" si="95"/>
        <v>8.0308030803080313E-2</v>
      </c>
      <c r="Z53" s="143">
        <f t="shared" si="95"/>
        <v>7.6892109500805148E-2</v>
      </c>
      <c r="AA53" s="143">
        <f t="shared" si="95"/>
        <v>5.652045922873123E-2</v>
      </c>
      <c r="AB53" s="143">
        <f t="shared" si="95"/>
        <v>8.6564472497745723E-2</v>
      </c>
      <c r="AC53" s="143">
        <f>AC51/AC$14</f>
        <v>7.270343853988101E-2</v>
      </c>
      <c r="AD53" s="143">
        <f>AD51/AD$14</f>
        <v>9.4304388422035479E-2</v>
      </c>
      <c r="AE53" s="154">
        <f>AVERAGE(Y53:AB53)</f>
        <v>7.5071268007590605E-2</v>
      </c>
      <c r="AF53" s="154">
        <f>AE53</f>
        <v>7.5071268007590605E-2</v>
      </c>
      <c r="AG53" s="154">
        <f>AF53</f>
        <v>7.5071268007590605E-2</v>
      </c>
      <c r="AH53" s="394"/>
      <c r="AI53" s="154"/>
      <c r="AJ53" s="154"/>
      <c r="AL53" s="1" t="s">
        <v>278</v>
      </c>
    </row>
    <row r="54" spans="2:38" s="1" customFormat="1" x14ac:dyDescent="0.25">
      <c r="B54" t="s">
        <v>235</v>
      </c>
      <c r="I54" s="127">
        <f>'Raw Input'!I24</f>
        <v>-9.968</v>
      </c>
      <c r="J54" s="127">
        <f>'Raw Input'!J24</f>
        <v>1.51</v>
      </c>
      <c r="K54" s="127">
        <f>'Raw Input'!K24</f>
        <v>-49.191000000000003</v>
      </c>
      <c r="L54" s="127">
        <f>'Raw Input'!L24</f>
        <v>-59.866999999999997</v>
      </c>
      <c r="M54" s="127">
        <f>'Raw Input'!M24</f>
        <v>-64.14</v>
      </c>
      <c r="N54" s="127">
        <f>'Raw Input'!N24</f>
        <v>-171.68799999999999</v>
      </c>
      <c r="O54" s="127">
        <f>'Raw Input'!O24</f>
        <v>-421.911</v>
      </c>
      <c r="P54" s="127">
        <f>'Raw Input'!P24</f>
        <v>-6.52</v>
      </c>
      <c r="Q54" s="127">
        <f>'Raw Input'!Q24</f>
        <v>-6.649</v>
      </c>
      <c r="R54" s="127">
        <f>'Raw Input'!R24</f>
        <v>-2.5190000000000055</v>
      </c>
      <c r="S54" s="127">
        <f>'Raw Input'!S24</f>
        <v>-437.59899999999999</v>
      </c>
      <c r="T54" s="127">
        <f>'Raw Input'!T24</f>
        <v>-5.7640000000000002</v>
      </c>
      <c r="U54" s="127">
        <f>'Raw Input'!U24</f>
        <v>-7.4829999999999997</v>
      </c>
      <c r="V54" s="127">
        <f>'Raw Input'!V24</f>
        <v>-5.6820000000000004</v>
      </c>
      <c r="W54" s="127">
        <f>'Raw Input'!W24</f>
        <v>-5.0709999999999971</v>
      </c>
      <c r="X54" s="127">
        <f>'Raw Input'!X24</f>
        <v>-24</v>
      </c>
      <c r="Y54" s="127">
        <f>'Raw Input'!Y24</f>
        <v>0</v>
      </c>
      <c r="Z54" s="127">
        <f>'Raw Input'!Z24</f>
        <v>-2</v>
      </c>
      <c r="AA54" s="127">
        <f>'Raw Input'!AA24</f>
        <v>-6</v>
      </c>
      <c r="AB54" s="127">
        <f>'Raw Input'!AB24</f>
        <v>-75</v>
      </c>
      <c r="AC54" s="127">
        <f>'Raw Input'!AC24</f>
        <v>-83</v>
      </c>
      <c r="AD54" s="127">
        <f>'Raw Input'!AD24</f>
        <v>0</v>
      </c>
      <c r="AE54" s="127">
        <v>0</v>
      </c>
      <c r="AF54" s="127">
        <f>AF56*AF14</f>
        <v>-34.52735755435765</v>
      </c>
      <c r="AG54" s="127">
        <f>AG56*AG14</f>
        <v>-22.486249634665601</v>
      </c>
      <c r="AH54" s="389">
        <f>SUM(AD54:AG54)</f>
        <v>-57.013607189023247</v>
      </c>
      <c r="AI54" s="154"/>
      <c r="AJ54" s="154"/>
    </row>
    <row r="55" spans="2:38" s="1" customFormat="1" x14ac:dyDescent="0.25">
      <c r="B55" s="131" t="s">
        <v>118</v>
      </c>
      <c r="C55" s="117"/>
      <c r="E55" s="118"/>
      <c r="F55" s="118"/>
      <c r="G55" s="118"/>
      <c r="H55" s="118"/>
      <c r="I55" s="127"/>
      <c r="J55" s="146"/>
      <c r="K55" s="146"/>
      <c r="L55" s="146"/>
      <c r="M55" s="146"/>
      <c r="N55" s="134">
        <f t="shared" ref="N55:Y55" si="96">N54/I54-1</f>
        <v>16.223916532905296</v>
      </c>
      <c r="O55" s="134">
        <f t="shared" si="96"/>
        <v>-280.41125827814568</v>
      </c>
      <c r="P55" s="134">
        <f t="shared" si="96"/>
        <v>-0.86745542883860871</v>
      </c>
      <c r="Q55" s="134">
        <f t="shared" si="96"/>
        <v>-0.88893714400253898</v>
      </c>
      <c r="R55" s="134">
        <f t="shared" si="96"/>
        <v>-0.96072653570314925</v>
      </c>
      <c r="S55" s="134">
        <f t="shared" si="96"/>
        <v>1.5488036438190207</v>
      </c>
      <c r="T55" s="134">
        <f t="shared" si="96"/>
        <v>-0.98633835097923495</v>
      </c>
      <c r="U55" s="134">
        <f t="shared" si="96"/>
        <v>0.14769938650306758</v>
      </c>
      <c r="V55" s="134">
        <f t="shared" si="96"/>
        <v>-0.14543540382012332</v>
      </c>
      <c r="W55" s="134">
        <f t="shared" si="96"/>
        <v>1.0131004366812171</v>
      </c>
      <c r="X55" s="134">
        <f t="shared" si="96"/>
        <v>-0.94515526772227543</v>
      </c>
      <c r="Y55" s="134">
        <f t="shared" si="96"/>
        <v>-1</v>
      </c>
      <c r="Z55" s="134">
        <f t="shared" ref="Z55" si="97">Z54/U54-1</f>
        <v>-0.73272751570225836</v>
      </c>
      <c r="AA55" s="134">
        <f>AA54/V54-1</f>
        <v>5.5966209081309337E-2</v>
      </c>
      <c r="AB55" s="134">
        <f t="shared" ref="AB55" si="98">AB54/W54-1</f>
        <v>13.789982252021305</v>
      </c>
      <c r="AC55" s="134">
        <f>AC54/X54-1</f>
        <v>2.4583333333333335</v>
      </c>
      <c r="AD55" s="134" t="e">
        <f>AD54/Y54-1</f>
        <v>#DIV/0!</v>
      </c>
      <c r="AE55" s="134"/>
      <c r="AF55" s="134"/>
      <c r="AG55" s="134"/>
      <c r="AH55" s="390"/>
      <c r="AI55" s="130"/>
      <c r="AJ55" s="130"/>
    </row>
    <row r="56" spans="2:38" s="1" customFormat="1" x14ac:dyDescent="0.25">
      <c r="B56" s="131" t="s">
        <v>120</v>
      </c>
      <c r="C56" s="151"/>
      <c r="D56" s="152"/>
      <c r="E56" s="153"/>
      <c r="F56" s="153"/>
      <c r="G56" s="153"/>
      <c r="H56" s="153"/>
      <c r="I56" s="143">
        <f>I54/I$14</f>
        <v>-2.0744025427247223E-3</v>
      </c>
      <c r="J56" s="143">
        <f t="shared" ref="J56:M56" si="99">J54/J$14</f>
        <v>1.7937113193875248E-3</v>
      </c>
      <c r="K56" s="143">
        <f t="shared" si="99"/>
        <v>-0.14693793424817939</v>
      </c>
      <c r="L56" s="143">
        <f t="shared" si="99"/>
        <v>-4.459928288924267E-2</v>
      </c>
      <c r="M56" s="143">
        <f t="shared" si="99"/>
        <v>-7.4645277819156863E-2</v>
      </c>
      <c r="N56" s="143">
        <f t="shared" ref="N56:AB56" si="100">N54/N$14</f>
        <v>-5.0822346463307813E-2</v>
      </c>
      <c r="O56" s="143">
        <f t="shared" si="100"/>
        <v>-0.47569497686417056</v>
      </c>
      <c r="P56" s="143">
        <f t="shared" si="100"/>
        <v>-4.8831782000545235E-3</v>
      </c>
      <c r="Q56" s="143">
        <f t="shared" si="100"/>
        <v>-2.9717104251659942E-3</v>
      </c>
      <c r="R56" s="143">
        <f t="shared" si="100"/>
        <v>-1.64404553986566E-3</v>
      </c>
      <c r="S56" s="143">
        <f t="shared" si="100"/>
        <v>-7.3033465959918289E-2</v>
      </c>
      <c r="T56" s="143">
        <f t="shared" si="100"/>
        <v>-3.8199076568471717E-3</v>
      </c>
      <c r="U56" s="143">
        <f t="shared" si="100"/>
        <v>-3.5563780739287496E-3</v>
      </c>
      <c r="V56" s="143">
        <f t="shared" si="100"/>
        <v>-1.9699002568982914E-3</v>
      </c>
      <c r="W56" s="143">
        <f t="shared" si="100"/>
        <v>-2.6667774537139761E-3</v>
      </c>
      <c r="X56" s="143">
        <f t="shared" si="100"/>
        <v>-2.8574830336944874E-3</v>
      </c>
      <c r="Y56" s="143">
        <f t="shared" si="100"/>
        <v>0</v>
      </c>
      <c r="Z56" s="143">
        <f t="shared" si="100"/>
        <v>-8.0515297906602254E-4</v>
      </c>
      <c r="AA56" s="143">
        <f t="shared" si="100"/>
        <v>-1.766264350897851E-3</v>
      </c>
      <c r="AB56" s="143">
        <f t="shared" si="100"/>
        <v>-3.3814247069431917E-2</v>
      </c>
      <c r="AC56" s="143">
        <f>AC54/AC$14</f>
        <v>-8.3694665725521835E-3</v>
      </c>
      <c r="AD56" s="143">
        <f t="shared" ref="AD56" si="101">AD54/AD$14</f>
        <v>0</v>
      </c>
      <c r="AE56" s="154">
        <f>AVERAGE(Y56:AB56)</f>
        <v>-9.0964160998489481E-3</v>
      </c>
      <c r="AF56" s="154">
        <f>AE56</f>
        <v>-9.0964160998489481E-3</v>
      </c>
      <c r="AG56" s="154">
        <f>AF56</f>
        <v>-9.0964160998489481E-3</v>
      </c>
      <c r="AH56" s="394"/>
      <c r="AI56" s="154"/>
      <c r="AJ56" s="154"/>
    </row>
    <row r="57" spans="2:38" s="1" customFormat="1" x14ac:dyDescent="0.25">
      <c r="B57" t="s">
        <v>236</v>
      </c>
      <c r="C57" s="151"/>
      <c r="D57" s="152"/>
      <c r="E57" s="153"/>
      <c r="F57" s="153"/>
      <c r="G57" s="153"/>
      <c r="H57" s="153"/>
      <c r="I57" s="127">
        <f>'Raw Input'!I25</f>
        <v>13.906000000000001</v>
      </c>
      <c r="J57" s="127">
        <f>'Raw Input'!J25</f>
        <v>-46.76</v>
      </c>
      <c r="K57" s="127">
        <f>'Raw Input'!K25</f>
        <v>-12.848000000000001</v>
      </c>
      <c r="L57" s="127">
        <f>'Raw Input'!L25</f>
        <v>-56.143000000000001</v>
      </c>
      <c r="M57" s="127">
        <f>'Raw Input'!M25</f>
        <v>-831.46900000000005</v>
      </c>
      <c r="N57" s="127">
        <f>'Raw Input'!N25</f>
        <v>-947.22</v>
      </c>
      <c r="O57" s="127">
        <f>'Raw Input'!O25</f>
        <v>-300.09800000000001</v>
      </c>
      <c r="P57" s="127">
        <f>'Raw Input'!P25</f>
        <v>-2.1280000000000001</v>
      </c>
      <c r="Q57" s="127">
        <f>'Raw Input'!Q25</f>
        <v>2.1720000000000002</v>
      </c>
      <c r="R57" s="127">
        <f>'Raw Input'!R25</f>
        <v>-4.6050000000000182</v>
      </c>
      <c r="S57" s="127">
        <f>'Raw Input'!S25</f>
        <v>-304.65899999999999</v>
      </c>
      <c r="T57" s="127">
        <f>'Raw Input'!T25</f>
        <v>-1.9350000000000001</v>
      </c>
      <c r="U57" s="127">
        <f>'Raw Input'!U25</f>
        <v>1.524</v>
      </c>
      <c r="V57" s="127">
        <f>'Raw Input'!V25</f>
        <v>13.643000000000001</v>
      </c>
      <c r="W57" s="127">
        <f>'Raw Input'!W25</f>
        <v>11.767999999999999</v>
      </c>
      <c r="X57" s="127">
        <f>'Raw Input'!X25</f>
        <v>25</v>
      </c>
      <c r="Y57" s="127">
        <f>'Raw Input'!Y25</f>
        <v>-11</v>
      </c>
      <c r="Z57" s="127">
        <f>'Raw Input'!Z25</f>
        <v>-36</v>
      </c>
      <c r="AA57" s="127">
        <f>'Raw Input'!AA25</f>
        <v>-3</v>
      </c>
      <c r="AB57" s="127">
        <f>'Raw Input'!AB25</f>
        <v>-4</v>
      </c>
      <c r="AC57" s="127">
        <f>'Raw Input'!AC25</f>
        <v>-54</v>
      </c>
      <c r="AD57" s="127">
        <f>'Raw Input'!AD25</f>
        <v>-10</v>
      </c>
      <c r="AE57" s="127">
        <v>-42</v>
      </c>
      <c r="AF57" s="127">
        <f>AF59*AF14</f>
        <v>-22.043507414658627</v>
      </c>
      <c r="AG57" s="127">
        <f>AG59*AG14</f>
        <v>-14.35603085956566</v>
      </c>
      <c r="AH57" s="389">
        <f>SUM(AD57:AG57)</f>
        <v>-88.399538274224284</v>
      </c>
      <c r="AI57" s="154"/>
      <c r="AJ57" s="154"/>
    </row>
    <row r="58" spans="2:38" s="1" customFormat="1" x14ac:dyDescent="0.25">
      <c r="B58" s="131" t="s">
        <v>118</v>
      </c>
      <c r="C58" s="117"/>
      <c r="E58" s="118"/>
      <c r="F58" s="118"/>
      <c r="G58" s="118"/>
      <c r="H58" s="118"/>
      <c r="I58" s="127"/>
      <c r="J58" s="146"/>
      <c r="K58" s="146"/>
      <c r="L58" s="146"/>
      <c r="M58" s="146"/>
      <c r="N58" s="134">
        <f t="shared" ref="N58:Y58" si="102">N57/I57-1</f>
        <v>-69.11592118509995</v>
      </c>
      <c r="O58" s="134">
        <f t="shared" si="102"/>
        <v>5.4178357570573148</v>
      </c>
      <c r="P58" s="134">
        <f t="shared" si="102"/>
        <v>-0.83437110834371109</v>
      </c>
      <c r="Q58" s="134">
        <f t="shared" si="102"/>
        <v>-1.0386869244607519</v>
      </c>
      <c r="R58" s="134">
        <f t="shared" si="102"/>
        <v>-0.99446160951280205</v>
      </c>
      <c r="S58" s="134">
        <f t="shared" si="102"/>
        <v>-0.67836511053398363</v>
      </c>
      <c r="T58" s="134">
        <f t="shared" si="102"/>
        <v>-0.99355210631193813</v>
      </c>
      <c r="U58" s="134">
        <f t="shared" si="102"/>
        <v>-1.7161654135338344</v>
      </c>
      <c r="V58" s="134">
        <f t="shared" si="102"/>
        <v>5.2813075506445673</v>
      </c>
      <c r="W58" s="134">
        <f t="shared" si="102"/>
        <v>-3.5554831704668737</v>
      </c>
      <c r="X58" s="134">
        <f t="shared" si="102"/>
        <v>-1.0820589577199426</v>
      </c>
      <c r="Y58" s="134">
        <f t="shared" si="102"/>
        <v>4.684754521963824</v>
      </c>
      <c r="Z58" s="134">
        <f t="shared" ref="Z58" si="103">Z57/U57-1</f>
        <v>-24.622047244094489</v>
      </c>
      <c r="AA58" s="134">
        <f>AA57/V57-1</f>
        <v>-1.2198929854137652</v>
      </c>
      <c r="AB58" s="134">
        <f t="shared" ref="AB58" si="104">AB57/W57-1</f>
        <v>-1.3399048266485385</v>
      </c>
      <c r="AC58" s="134">
        <f>AC57/X57-1</f>
        <v>-3.16</v>
      </c>
      <c r="AD58" s="134">
        <f>AD57/Y57-1</f>
        <v>-9.0909090909090939E-2</v>
      </c>
      <c r="AE58" s="155"/>
      <c r="AF58" s="155"/>
      <c r="AG58" s="155"/>
      <c r="AH58" s="130"/>
      <c r="AI58" s="130"/>
      <c r="AJ58" s="130"/>
    </row>
    <row r="59" spans="2:38" x14ac:dyDescent="0.25">
      <c r="B59" s="131" t="s">
        <v>120</v>
      </c>
      <c r="C59" s="106"/>
      <c r="E59" s="107"/>
      <c r="F59" s="107"/>
      <c r="G59" s="107"/>
      <c r="H59" s="107"/>
      <c r="I59" s="143">
        <f>I57/I$14</f>
        <v>2.8939247350652075E-3</v>
      </c>
      <c r="J59" s="143">
        <f t="shared" ref="J59:M59" si="105">J57/J$14</f>
        <v>-5.5545656486464007E-2</v>
      </c>
      <c r="K59" s="143">
        <f t="shared" si="105"/>
        <v>-3.8378129723335742E-2</v>
      </c>
      <c r="L59" s="143">
        <f t="shared" si="105"/>
        <v>-4.1825004413963474E-2</v>
      </c>
      <c r="M59" s="143">
        <f t="shared" si="105"/>
        <v>-0.96765254915834953</v>
      </c>
      <c r="N59" s="143">
        <f t="shared" ref="N59:AB59" si="106">N57/N$14</f>
        <v>-0.28039200769404055</v>
      </c>
      <c r="O59" s="143">
        <f t="shared" si="106"/>
        <v>-0.33835361288751387</v>
      </c>
      <c r="P59" s="143">
        <f t="shared" si="106"/>
        <v>-1.5937734984227037E-3</v>
      </c>
      <c r="Q59" s="143">
        <f t="shared" si="106"/>
        <v>9.7075575928117603E-4</v>
      </c>
      <c r="R59" s="143">
        <f t="shared" si="106"/>
        <v>-3.0054901592224603E-3</v>
      </c>
      <c r="S59" s="143">
        <f t="shared" si="106"/>
        <v>-5.084632895843625E-2</v>
      </c>
      <c r="T59" s="143">
        <f t="shared" si="106"/>
        <v>-1.2823597009020259E-3</v>
      </c>
      <c r="U59" s="143">
        <f t="shared" si="106"/>
        <v>7.2429776622576702E-4</v>
      </c>
      <c r="V59" s="143">
        <f t="shared" si="106"/>
        <v>4.7299101029326628E-3</v>
      </c>
      <c r="W59" s="143">
        <f t="shared" si="106"/>
        <v>6.1886486048720341E-3</v>
      </c>
      <c r="X59" s="143">
        <f t="shared" si="106"/>
        <v>2.9765448267650911E-3</v>
      </c>
      <c r="Y59" s="143">
        <f t="shared" si="106"/>
        <v>-6.0506050605060504E-3</v>
      </c>
      <c r="Z59" s="143">
        <f t="shared" si="106"/>
        <v>-1.4492753623188406E-2</v>
      </c>
      <c r="AA59" s="143">
        <f t="shared" si="106"/>
        <v>-8.8313217544892548E-4</v>
      </c>
      <c r="AB59" s="143">
        <f t="shared" si="106"/>
        <v>-1.8034265103697023E-3</v>
      </c>
      <c r="AC59" s="143">
        <f>AC57/AC$14</f>
        <v>-5.4451951194917818E-3</v>
      </c>
      <c r="AD59" s="143">
        <f t="shared" ref="AD59" si="107">AD57/AD$14</f>
        <v>-4.6685340802987861E-3</v>
      </c>
      <c r="AE59" s="154">
        <f>AVERAGE(Y59:AB59)</f>
        <v>-5.8074793423782706E-3</v>
      </c>
      <c r="AF59" s="154">
        <f>AE59</f>
        <v>-5.8074793423782706E-3</v>
      </c>
      <c r="AG59" s="154">
        <f>AF59</f>
        <v>-5.8074793423782706E-3</v>
      </c>
      <c r="AH59" s="156"/>
      <c r="AI59" s="156"/>
      <c r="AJ59" s="156"/>
    </row>
    <row r="60" spans="2:38" x14ac:dyDescent="0.25">
      <c r="B60" s="333" t="s">
        <v>237</v>
      </c>
      <c r="C60" s="106"/>
      <c r="E60" s="107"/>
      <c r="F60" s="107"/>
      <c r="G60" s="107"/>
      <c r="H60" s="107"/>
      <c r="I60" s="127">
        <f>'Raw Input'!I26</f>
        <v>-411.70299999999997</v>
      </c>
      <c r="J60" s="127">
        <f>'Raw Input'!J26</f>
        <v>-357.09</v>
      </c>
      <c r="K60" s="127">
        <f>'Raw Input'!K26</f>
        <v>-639.39800000000002</v>
      </c>
      <c r="L60" s="127">
        <f>'Raw Input'!L26</f>
        <v>307.05200000000002</v>
      </c>
      <c r="M60" s="127">
        <f>'Raw Input'!M26</f>
        <v>-3992.5019999999995</v>
      </c>
      <c r="N60" s="127">
        <f>'Raw Input'!N26</f>
        <v>-4681.9380000000001</v>
      </c>
      <c r="O60" s="127">
        <f>'Raw Input'!O26</f>
        <v>-1165.902</v>
      </c>
      <c r="P60" s="127">
        <f>'Raw Input'!P26</f>
        <v>-56.984000000000002</v>
      </c>
      <c r="Q60" s="127">
        <f>'Raw Input'!Q26</f>
        <v>850.45799999999997</v>
      </c>
      <c r="R60" s="127">
        <f>'Raw Input'!R26</f>
        <v>72.221000000000004</v>
      </c>
      <c r="S60" s="127">
        <f>'Raw Input'!S26</f>
        <v>-300.20699999999999</v>
      </c>
      <c r="T60" s="127">
        <f>'Raw Input'!T26</f>
        <v>-8.0860000000000003</v>
      </c>
      <c r="U60" s="127">
        <f>'Raw Input'!U26</f>
        <v>383.11099999999999</v>
      </c>
      <c r="V60" s="127">
        <f>'Raw Input'!V26</f>
        <v>1269.8989999999999</v>
      </c>
      <c r="W60" s="127">
        <f>'Raw Input'!W26</f>
        <v>344.07600000000014</v>
      </c>
      <c r="X60" s="127">
        <f>'Raw Input'!X26</f>
        <v>1989</v>
      </c>
      <c r="Y60" s="127">
        <f>'Raw Input'!Y26</f>
        <v>130</v>
      </c>
      <c r="Z60" s="127">
        <f>'Raw Input'!Z26</f>
        <v>676</v>
      </c>
      <c r="AA60" s="127">
        <f>'Raw Input'!AA26</f>
        <v>1679</v>
      </c>
      <c r="AB60" s="127">
        <f>'Raw Input'!AB26</f>
        <v>-383</v>
      </c>
      <c r="AC60" s="127">
        <f>'Raw Input'!AC26</f>
        <v>2102</v>
      </c>
      <c r="AD60" s="127">
        <f>'Raw Input'!AD26</f>
        <v>293</v>
      </c>
      <c r="AE60" s="130">
        <f>AE46+AE51+AE54+AE57</f>
        <v>681</v>
      </c>
      <c r="AF60" s="130">
        <f>AF46+AF51+AF54+AF57</f>
        <v>1870.0224727200757</v>
      </c>
      <c r="AG60" s="130">
        <f>AG46+AG51+AG54+AG57</f>
        <v>612.23126830785293</v>
      </c>
      <c r="AH60" s="156">
        <f>AH46+AH51+AH54+AH57</f>
        <v>3456.2537410279288</v>
      </c>
      <c r="AI60" s="156">
        <f>AI62*AI14</f>
        <v>3905.5667273615591</v>
      </c>
      <c r="AJ60" s="156">
        <f>AJ62*AJ14</f>
        <v>4413.2904019185607</v>
      </c>
    </row>
    <row r="61" spans="2:38" s="1" customFormat="1" x14ac:dyDescent="0.25">
      <c r="B61" s="131" t="s">
        <v>118</v>
      </c>
      <c r="C61" s="117"/>
      <c r="E61" s="118"/>
      <c r="F61" s="118"/>
      <c r="G61" s="118"/>
      <c r="H61" s="118"/>
      <c r="I61" s="127"/>
      <c r="J61" s="146"/>
      <c r="K61" s="146"/>
      <c r="L61" s="146"/>
      <c r="M61" s="146"/>
      <c r="N61" s="134">
        <f t="shared" ref="N61:Y61" si="108">N60/I60-1</f>
        <v>10.372125051311262</v>
      </c>
      <c r="O61" s="134">
        <f t="shared" si="108"/>
        <v>2.2650088213055537</v>
      </c>
      <c r="P61" s="134">
        <f t="shared" si="108"/>
        <v>-0.9108786702492031</v>
      </c>
      <c r="Q61" s="134">
        <f t="shared" si="108"/>
        <v>1.7697523546500262</v>
      </c>
      <c r="R61" s="134">
        <f t="shared" si="108"/>
        <v>-1.0180891581269089</v>
      </c>
      <c r="S61" s="134">
        <f t="shared" si="108"/>
        <v>-0.93587975748504149</v>
      </c>
      <c r="T61" s="134">
        <f t="shared" si="108"/>
        <v>-0.99306459719599072</v>
      </c>
      <c r="U61" s="134">
        <f t="shared" si="108"/>
        <v>-7.7231328092096021</v>
      </c>
      <c r="V61" s="134">
        <f t="shared" si="108"/>
        <v>0.49319425533065697</v>
      </c>
      <c r="W61" s="134">
        <f t="shared" si="108"/>
        <v>3.7642098558591011</v>
      </c>
      <c r="X61" s="134">
        <f t="shared" si="108"/>
        <v>-7.625428454366487</v>
      </c>
      <c r="Y61" s="134">
        <f t="shared" si="108"/>
        <v>-17.077170418006432</v>
      </c>
      <c r="Z61" s="134">
        <f t="shared" ref="Z61" si="109">Z60/U60-1</f>
        <v>0.76450167183923212</v>
      </c>
      <c r="AA61" s="134">
        <f>AA60/V60-1</f>
        <v>0.32215239164689491</v>
      </c>
      <c r="AB61" s="134">
        <f t="shared" ref="AB61" si="110">AB60/W60-1</f>
        <v>-2.113126169799695</v>
      </c>
      <c r="AC61" s="134">
        <f>AC60/X60-1</f>
        <v>5.681246857717448E-2</v>
      </c>
      <c r="AD61" s="134">
        <f>AD60/Y60-1</f>
        <v>1.2538461538461538</v>
      </c>
      <c r="AE61" s="155"/>
      <c r="AF61" s="155"/>
      <c r="AG61" s="155"/>
      <c r="AH61" s="130"/>
      <c r="AI61" s="130"/>
      <c r="AJ61" s="130"/>
    </row>
    <row r="62" spans="2:38" x14ac:dyDescent="0.25">
      <c r="B62" s="131" t="s">
        <v>120</v>
      </c>
      <c r="C62" s="106"/>
      <c r="E62" s="107"/>
      <c r="F62" s="107"/>
      <c r="G62" s="107"/>
      <c r="H62" s="107"/>
      <c r="I62" s="143">
        <f>I60/I$14</f>
        <v>-8.5677944426905725E-2</v>
      </c>
      <c r="J62" s="143">
        <f t="shared" ref="J62:M62" si="111">J60/J$14</f>
        <v>-0.42418302982787492</v>
      </c>
      <c r="K62" s="143">
        <f t="shared" si="111"/>
        <v>-1.9099392425935109</v>
      </c>
      <c r="L62" s="143">
        <f t="shared" si="111"/>
        <v>0.22874536906321916</v>
      </c>
      <c r="M62" s="143">
        <f t="shared" si="111"/>
        <v>-4.6464206576791298</v>
      </c>
      <c r="N62" s="143">
        <f t="shared" ref="N62:AB62" si="112">N60/N$14</f>
        <v>-1.3859272351924798</v>
      </c>
      <c r="O62" s="143">
        <f t="shared" si="112"/>
        <v>-1.3145277675052089</v>
      </c>
      <c r="P62" s="143">
        <f t="shared" si="112"/>
        <v>-4.2678378305507213E-2</v>
      </c>
      <c r="Q62" s="143">
        <f t="shared" si="112"/>
        <v>0.3801045126734578</v>
      </c>
      <c r="R62" s="143">
        <f t="shared" si="112"/>
        <v>4.7135614503627465E-2</v>
      </c>
      <c r="S62" s="143">
        <f t="shared" si="112"/>
        <v>-5.0103308543733391E-2</v>
      </c>
      <c r="T62" s="143">
        <f t="shared" si="112"/>
        <v>-5.3587392979296024E-3</v>
      </c>
      <c r="U62" s="143">
        <f t="shared" si="112"/>
        <v>0.18207771753052482</v>
      </c>
      <c r="V62" s="143">
        <f t="shared" si="112"/>
        <v>0.44026300005893754</v>
      </c>
      <c r="W62" s="143">
        <f t="shared" si="112"/>
        <v>0.18094539916467972</v>
      </c>
      <c r="X62" s="143">
        <f t="shared" si="112"/>
        <v>0.23681390641743064</v>
      </c>
      <c r="Y62" s="143">
        <f t="shared" si="112"/>
        <v>7.1507150715071507E-2</v>
      </c>
      <c r="Z62" s="143">
        <f t="shared" si="112"/>
        <v>0.27214170692431561</v>
      </c>
      <c r="AA62" s="143">
        <f t="shared" si="112"/>
        <v>0.49425964085958196</v>
      </c>
      <c r="AB62" s="143">
        <f t="shared" si="112"/>
        <v>-0.172678088367899</v>
      </c>
      <c r="AC62" s="143">
        <f>AC60/AC$14</f>
        <v>0.21195926187355046</v>
      </c>
      <c r="AD62" s="143">
        <f t="shared" ref="AD62:AG62" si="113">AD60/AD$14</f>
        <v>0.13678804855275445</v>
      </c>
      <c r="AE62" s="143">
        <f t="shared" si="113"/>
        <v>0.24781659388646288</v>
      </c>
      <c r="AF62" s="143">
        <f t="shared" si="113"/>
        <v>0.49266737256536347</v>
      </c>
      <c r="AG62" s="143">
        <f t="shared" si="113"/>
        <v>0.24766737256536353</v>
      </c>
      <c r="AH62" s="143">
        <f>AH60/AH14</f>
        <v>0.30976399625621132</v>
      </c>
      <c r="AI62" s="143">
        <f>AH62</f>
        <v>0.30976399625621132</v>
      </c>
      <c r="AJ62" s="143">
        <f>AI62</f>
        <v>0.30976399625621132</v>
      </c>
    </row>
    <row r="63" spans="2:38" x14ac:dyDescent="0.25">
      <c r="B63" s="158" t="s">
        <v>129</v>
      </c>
      <c r="C63" s="106"/>
      <c r="E63" s="107"/>
      <c r="F63" s="107"/>
      <c r="G63" s="107"/>
      <c r="H63" s="107"/>
      <c r="I63" s="144"/>
      <c r="J63" s="144"/>
      <c r="K63" s="144"/>
      <c r="L63" s="144"/>
      <c r="M63" s="144"/>
      <c r="N63" s="376"/>
      <c r="O63" s="376"/>
      <c r="P63" s="376"/>
      <c r="Q63" s="376"/>
      <c r="R63" s="376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393">
        <v>3413</v>
      </c>
      <c r="AI63" s="393">
        <v>3946</v>
      </c>
      <c r="AJ63" s="393">
        <v>4706</v>
      </c>
    </row>
    <row r="64" spans="2:38" x14ac:dyDescent="0.25">
      <c r="B64" s="333" t="s">
        <v>238</v>
      </c>
      <c r="C64" s="106"/>
      <c r="E64" s="107"/>
      <c r="F64" s="107"/>
      <c r="G64" s="107"/>
      <c r="H64" s="107"/>
      <c r="I64" s="127">
        <f>'Raw Input'!I27</f>
        <v>262.63600000000002</v>
      </c>
      <c r="J64" s="127">
        <f>'Raw Input'!J27</f>
        <v>-16.484999999999999</v>
      </c>
      <c r="K64" s="127">
        <f>'Raw Input'!K27</f>
        <v>-63.81</v>
      </c>
      <c r="L64" s="127">
        <f>'Raw Input'!L27</f>
        <v>87.724000000000004</v>
      </c>
      <c r="M64" s="127">
        <f>'Raw Input'!M27</f>
        <v>89.792999999999992</v>
      </c>
      <c r="N64" s="127">
        <f>'Raw Input'!N27</f>
        <v>97.221999999999994</v>
      </c>
      <c r="O64" s="127">
        <f>'Raw Input'!O27</f>
        <v>6.3090000000000002</v>
      </c>
      <c r="P64" s="127">
        <f>'Raw Input'!P27</f>
        <v>11.233000000000001</v>
      </c>
      <c r="Q64" s="127">
        <f>'Raw Input'!Q27</f>
        <v>16.565000000000001</v>
      </c>
      <c r="R64" s="127">
        <f>'Raw Input'!R27</f>
        <v>17.72</v>
      </c>
      <c r="S64" s="127">
        <f>'Raw Input'!S27</f>
        <v>51.826999999999998</v>
      </c>
      <c r="T64" s="127">
        <f>'Raw Input'!T27</f>
        <v>10.706</v>
      </c>
      <c r="U64" s="127">
        <f>'Raw Input'!U27</f>
        <v>4.2699999999999996</v>
      </c>
      <c r="V64" s="127">
        <f>'Raw Input'!V27</f>
        <v>55.610999999999997</v>
      </c>
      <c r="W64" s="127">
        <f>'Raw Input'!W27</f>
        <v>25.413</v>
      </c>
      <c r="X64" s="127">
        <f>'Raw Input'!X27</f>
        <v>96</v>
      </c>
      <c r="Y64" s="127">
        <f>'Raw Input'!Y27</f>
        <v>13</v>
      </c>
      <c r="Z64" s="127">
        <f>'Raw Input'!Z27</f>
        <v>26</v>
      </c>
      <c r="AA64" s="127">
        <f>'Raw Input'!AA27</f>
        <v>-2695</v>
      </c>
      <c r="AB64" s="127">
        <f>'Raw Input'!AB27</f>
        <v>-34</v>
      </c>
      <c r="AC64" s="127">
        <f>'Raw Input'!AC27</f>
        <v>-2690</v>
      </c>
      <c r="AD64" s="127">
        <f>'Raw Input'!AD27</f>
        <v>29</v>
      </c>
      <c r="AE64" s="130">
        <v>126</v>
      </c>
      <c r="AF64" s="130"/>
      <c r="AG64" s="130"/>
      <c r="AH64" s="130">
        <v>467.1</v>
      </c>
      <c r="AI64" s="130">
        <f>AI66*AI46</f>
        <v>566.45754537709001</v>
      </c>
      <c r="AJ64" s="130">
        <f>AJ66*AJ46</f>
        <v>664.71614267134669</v>
      </c>
    </row>
    <row r="65" spans="1:36" x14ac:dyDescent="0.25">
      <c r="B65" s="131" t="s">
        <v>118</v>
      </c>
      <c r="C65" s="106"/>
      <c r="E65" s="107"/>
      <c r="F65" s="107"/>
      <c r="G65" s="107"/>
      <c r="H65" s="107"/>
      <c r="I65" s="127"/>
      <c r="J65" s="146"/>
      <c r="K65" s="146"/>
      <c r="L65" s="146"/>
      <c r="M65" s="146"/>
      <c r="N65" s="134">
        <f>N64/I64-1</f>
        <v>-0.62982226351299908</v>
      </c>
      <c r="O65" s="134">
        <f t="shared" ref="O65:Y65" si="114">O64/J64-1</f>
        <v>-1.3827115559599636</v>
      </c>
      <c r="P65" s="134">
        <f t="shared" si="114"/>
        <v>-1.1760382385206081</v>
      </c>
      <c r="Q65" s="134">
        <f t="shared" si="114"/>
        <v>-0.81116912133509644</v>
      </c>
      <c r="R65" s="134">
        <f t="shared" si="114"/>
        <v>-0.80265722272337481</v>
      </c>
      <c r="S65" s="134">
        <f t="shared" si="114"/>
        <v>-0.46692106724815374</v>
      </c>
      <c r="T65" s="134">
        <f t="shared" si="114"/>
        <v>0.69694087811063543</v>
      </c>
      <c r="U65" s="134">
        <f t="shared" si="114"/>
        <v>-0.61987002581678985</v>
      </c>
      <c r="V65" s="134">
        <f t="shared" si="114"/>
        <v>2.3571385451252636</v>
      </c>
      <c r="W65" s="134">
        <f t="shared" si="114"/>
        <v>0.43414221218961635</v>
      </c>
      <c r="X65" s="134">
        <f t="shared" si="114"/>
        <v>0.85231636019835233</v>
      </c>
      <c r="Y65" s="134">
        <f t="shared" si="114"/>
        <v>0.21427237063328985</v>
      </c>
      <c r="Z65" s="134">
        <f t="shared" ref="Z65" si="115">Z64/U64-1</f>
        <v>5.0889929742388764</v>
      </c>
      <c r="AA65" s="134">
        <f>AA64/V64-1</f>
        <v>-49.461635287982595</v>
      </c>
      <c r="AB65" s="134">
        <f t="shared" ref="AB65" si="116">AB64/W64-1</f>
        <v>-2.337897926258214</v>
      </c>
      <c r="AC65" s="134">
        <f>AC64/X64-1</f>
        <v>-29.020833333333332</v>
      </c>
      <c r="AD65" s="134">
        <f>AD64/Y64-1</f>
        <v>1.2307692307692308</v>
      </c>
      <c r="AE65" s="130"/>
      <c r="AF65" s="130"/>
      <c r="AG65" s="130"/>
      <c r="AH65" s="130"/>
      <c r="AI65" s="130"/>
      <c r="AJ65" s="130"/>
    </row>
    <row r="66" spans="1:36" x14ac:dyDescent="0.25">
      <c r="B66" s="131" t="s">
        <v>126</v>
      </c>
      <c r="C66" s="106"/>
      <c r="E66" s="107"/>
      <c r="F66" s="107"/>
      <c r="G66" s="107"/>
      <c r="H66" s="107"/>
      <c r="I66" s="143">
        <f>I64/I46</f>
        <v>-0.52365599759143289</v>
      </c>
      <c r="J66" s="143">
        <f t="shared" ref="J66:AD66" si="117">J64/J46</f>
        <v>5.0646872858990638E-2</v>
      </c>
      <c r="K66" s="143">
        <f t="shared" si="117"/>
        <v>0.10941076618399732</v>
      </c>
      <c r="L66" s="143">
        <f t="shared" si="117"/>
        <v>0.20949665303042253</v>
      </c>
      <c r="M66" s="143">
        <f t="shared" si="117"/>
        <v>-2.896380210181345E-2</v>
      </c>
      <c r="N66" s="143">
        <f t="shared" si="117"/>
        <v>-2.7080228191213338E-2</v>
      </c>
      <c r="O66" s="143">
        <f t="shared" si="117"/>
        <v>-1.4115830806922551E-2</v>
      </c>
      <c r="P66" s="143">
        <f t="shared" si="117"/>
        <v>-0.21906080580365841</v>
      </c>
      <c r="Q66" s="143">
        <f t="shared" si="117"/>
        <v>1.9443104417628265E-2</v>
      </c>
      <c r="R66" s="143">
        <f t="shared" si="117"/>
        <v>0.23449389283681957</v>
      </c>
      <c r="S66" s="143">
        <f t="shared" si="117"/>
        <v>0.12071965470736075</v>
      </c>
      <c r="T66" s="143">
        <f t="shared" si="117"/>
        <v>-2.0865328396023819</v>
      </c>
      <c r="U66" s="143">
        <f t="shared" si="117"/>
        <v>1.1577369090322462E-2</v>
      </c>
      <c r="V66" s="143">
        <f t="shared" si="117"/>
        <v>4.6208456967746073E-2</v>
      </c>
      <c r="W66" s="143">
        <f t="shared" si="117"/>
        <v>0.10822009394149715</v>
      </c>
      <c r="X66" s="143">
        <f t="shared" si="117"/>
        <v>5.327413984461709E-2</v>
      </c>
      <c r="Y66" s="143">
        <f t="shared" si="117"/>
        <v>-2.6</v>
      </c>
      <c r="Z66" s="143">
        <f t="shared" si="117"/>
        <v>4.9713193116634802E-2</v>
      </c>
      <c r="AA66" s="143">
        <f t="shared" si="117"/>
        <v>-1.8014705882352942</v>
      </c>
      <c r="AB66" s="143">
        <f t="shared" si="117"/>
        <v>6.8548387096774188E-2</v>
      </c>
      <c r="AC66" s="143">
        <f>AC64/AC46</f>
        <v>-1.772068511198946</v>
      </c>
      <c r="AD66" s="143">
        <f t="shared" si="117"/>
        <v>0.28712871287128711</v>
      </c>
      <c r="AE66" s="130"/>
      <c r="AF66" s="130"/>
      <c r="AG66" s="130"/>
      <c r="AH66" s="143">
        <f>AH64/AH46</f>
        <v>0.17279886851700429</v>
      </c>
      <c r="AI66" s="143">
        <f>AH66</f>
        <v>0.17279886851700429</v>
      </c>
      <c r="AJ66" s="143">
        <f>AI66</f>
        <v>0.17279886851700429</v>
      </c>
    </row>
    <row r="67" spans="1:36" x14ac:dyDescent="0.25">
      <c r="B67" s="135" t="s">
        <v>104</v>
      </c>
      <c r="C67" s="136"/>
      <c r="D67" s="135"/>
      <c r="E67" s="137"/>
      <c r="F67" s="137"/>
      <c r="G67" s="137"/>
      <c r="H67" s="137"/>
      <c r="I67" s="138">
        <f>'Raw Input'!I28</f>
        <v>-674.33900000000006</v>
      </c>
      <c r="J67" s="138">
        <f>'Raw Input'!J28</f>
        <v>-340.60500000000002</v>
      </c>
      <c r="K67" s="138">
        <f>'Raw Input'!K28</f>
        <v>-575.58799999999997</v>
      </c>
      <c r="L67" s="138">
        <f>'Raw Input'!L28</f>
        <v>219.328</v>
      </c>
      <c r="M67" s="138">
        <f>'Raw Input'!M28</f>
        <v>-3887.851000000001</v>
      </c>
      <c r="N67" s="138">
        <f>'Raw Input'!N28</f>
        <v>-4584.7160000000003</v>
      </c>
      <c r="O67" s="138">
        <f>'Raw Input'!O28</f>
        <v>-1172.211</v>
      </c>
      <c r="P67" s="138">
        <f>'Raw Input'!P28</f>
        <v>-68.216999999999999</v>
      </c>
      <c r="Q67" s="138">
        <f>'Raw Input'!Q28</f>
        <v>833.89300000000003</v>
      </c>
      <c r="R67" s="138">
        <f>'Raw Input'!R28</f>
        <v>54.500999999999976</v>
      </c>
      <c r="S67" s="138">
        <f>'Raw Input'!S28</f>
        <v>-352.03399999999999</v>
      </c>
      <c r="T67" s="138">
        <f>'Raw Input'!T28</f>
        <v>-18.792000000000002</v>
      </c>
      <c r="U67" s="138">
        <f>'Raw Input'!U28</f>
        <v>378.84100000000001</v>
      </c>
      <c r="V67" s="138">
        <f>'Raw Input'!V28</f>
        <v>1214.288</v>
      </c>
      <c r="W67" s="138">
        <f>'Raw Input'!W28</f>
        <v>318.66300000000001</v>
      </c>
      <c r="X67" s="138">
        <f>'Raw Input'!X28</f>
        <v>1893</v>
      </c>
      <c r="Y67" s="138">
        <f>'Raw Input'!Y28</f>
        <v>117</v>
      </c>
      <c r="Z67" s="138">
        <f>'Raw Input'!Z28</f>
        <v>650</v>
      </c>
      <c r="AA67" s="138">
        <f>'Raw Input'!AA28</f>
        <v>4374</v>
      </c>
      <c r="AB67" s="138">
        <f>'Raw Input'!AB28</f>
        <v>-349</v>
      </c>
      <c r="AC67" s="138">
        <f>'Raw Input'!AC28</f>
        <v>4792</v>
      </c>
      <c r="AD67" s="138">
        <f>'Raw Input'!AD28</f>
        <v>264</v>
      </c>
      <c r="AE67" s="139">
        <v>555</v>
      </c>
      <c r="AF67" s="139"/>
      <c r="AG67" s="140"/>
      <c r="AH67" s="138">
        <f>AH60-AH64</f>
        <v>2989.1537410279288</v>
      </c>
      <c r="AI67" s="138">
        <f>AI60-AI64</f>
        <v>3339.1091819844692</v>
      </c>
      <c r="AJ67" s="138">
        <f t="shared" ref="AJ67" si="118">AJ60-AJ64</f>
        <v>3748.5742592472143</v>
      </c>
    </row>
    <row r="68" spans="1:36" x14ac:dyDescent="0.25">
      <c r="B68" s="131" t="s">
        <v>118</v>
      </c>
      <c r="C68" s="106"/>
      <c r="E68" s="107"/>
      <c r="F68" s="107"/>
      <c r="G68" s="107"/>
      <c r="H68" s="107"/>
      <c r="I68" s="127"/>
      <c r="J68" s="146"/>
      <c r="K68" s="146"/>
      <c r="L68" s="146"/>
      <c r="M68" s="146"/>
      <c r="N68" s="134">
        <f t="shared" ref="N68:Y68" si="119">N67/I67-1</f>
        <v>5.7988296687571088</v>
      </c>
      <c r="O68" s="134">
        <f t="shared" si="119"/>
        <v>2.4415554674769893</v>
      </c>
      <c r="P68" s="134">
        <f t="shared" si="119"/>
        <v>-0.88148293571095993</v>
      </c>
      <c r="Q68" s="134">
        <f t="shared" si="119"/>
        <v>2.8020362197257076</v>
      </c>
      <c r="R68" s="134">
        <f t="shared" si="119"/>
        <v>-1.0140182841369179</v>
      </c>
      <c r="S68" s="134">
        <f t="shared" si="119"/>
        <v>-0.92321574553363828</v>
      </c>
      <c r="T68" s="134">
        <f t="shared" si="119"/>
        <v>-0.98396875647814264</v>
      </c>
      <c r="U68" s="134">
        <f t="shared" si="119"/>
        <v>-6.5534690766231289</v>
      </c>
      <c r="V68" s="134">
        <f t="shared" si="119"/>
        <v>0.45616763781444369</v>
      </c>
      <c r="W68" s="134">
        <f t="shared" si="119"/>
        <v>4.8469202399955993</v>
      </c>
      <c r="X68" s="134">
        <f t="shared" si="119"/>
        <v>-6.377321508717908</v>
      </c>
      <c r="Y68" s="134">
        <f t="shared" si="119"/>
        <v>-7.226053639846743</v>
      </c>
      <c r="Z68" s="134">
        <f t="shared" ref="Z68" si="120">Z67/U67-1</f>
        <v>0.71575938190428179</v>
      </c>
      <c r="AA68" s="134">
        <f>AA67/V67-1</f>
        <v>2.6021108666148391</v>
      </c>
      <c r="AB68" s="134">
        <f t="shared" ref="AB68" si="121">AB67/W67-1</f>
        <v>-2.0952008862026652</v>
      </c>
      <c r="AC68" s="134">
        <f>AC67/X67-1</f>
        <v>1.5314315900686739</v>
      </c>
      <c r="AD68" s="134">
        <f>AD67/Y67-1</f>
        <v>1.2564102564102564</v>
      </c>
      <c r="AE68" s="134">
        <f>AE67/Z67-1</f>
        <v>-0.14615384615384619</v>
      </c>
      <c r="AF68" s="130"/>
      <c r="AG68" s="130"/>
      <c r="AH68" s="130"/>
      <c r="AI68" s="130"/>
      <c r="AJ68" s="130"/>
    </row>
    <row r="69" spans="1:36" s="365" customFormat="1" x14ac:dyDescent="0.25">
      <c r="B69" s="150" t="s">
        <v>127</v>
      </c>
      <c r="C69" s="364"/>
      <c r="E69" s="366"/>
      <c r="F69" s="366"/>
      <c r="G69" s="366"/>
      <c r="H69" s="366"/>
      <c r="I69" s="363">
        <f>I67/I$14</f>
        <v>-0.14033412281886501</v>
      </c>
      <c r="J69" s="363">
        <f t="shared" ref="J69:M69" si="122">J67/J$14</f>
        <v>-0.40460069135098536</v>
      </c>
      <c r="K69" s="363">
        <f t="shared" si="122"/>
        <v>-1.7193330425899263</v>
      </c>
      <c r="L69" s="363">
        <f t="shared" si="122"/>
        <v>0.16339338061923625</v>
      </c>
      <c r="M69" s="363">
        <f t="shared" si="122"/>
        <v>-4.5246292175629383</v>
      </c>
      <c r="N69" s="363">
        <f t="shared" ref="N69:AA69" si="123">N67/N$14</f>
        <v>-1.3571479951299494</v>
      </c>
      <c r="O69" s="363">
        <f t="shared" si="123"/>
        <v>-1.3216410203216467</v>
      </c>
      <c r="P69" s="363">
        <f t="shared" si="123"/>
        <v>-5.1091375348637953E-2</v>
      </c>
      <c r="Q69" s="363">
        <f t="shared" si="123"/>
        <v>0.37270093571558827</v>
      </c>
      <c r="R69" s="363">
        <f t="shared" si="123"/>
        <v>3.5570514477260062E-2</v>
      </c>
      <c r="S69" s="363">
        <f t="shared" si="123"/>
        <v>-5.8753020815252945E-2</v>
      </c>
      <c r="T69" s="363">
        <f t="shared" si="123"/>
        <v>-1.2453800258062466E-2</v>
      </c>
      <c r="U69" s="363">
        <f t="shared" si="123"/>
        <v>0.1800483530542886</v>
      </c>
      <c r="V69" s="363">
        <f t="shared" si="123"/>
        <v>0.42098314733342351</v>
      </c>
      <c r="W69" s="363">
        <f t="shared" si="123"/>
        <v>0.16758101039890697</v>
      </c>
      <c r="X69" s="363">
        <f t="shared" si="123"/>
        <v>0.22538397428265269</v>
      </c>
      <c r="Y69" s="363">
        <f t="shared" si="123"/>
        <v>6.4356435643564358E-2</v>
      </c>
      <c r="Z69" s="363">
        <f t="shared" si="123"/>
        <v>0.26167471819645732</v>
      </c>
      <c r="AA69" s="363">
        <f t="shared" si="123"/>
        <v>1.2876067118045333</v>
      </c>
      <c r="AB69" s="363">
        <f>AB67/AB$14</f>
        <v>-0.15734896302975654</v>
      </c>
      <c r="AC69" s="363">
        <f>AC67/AC$14</f>
        <v>0.48321064838156702</v>
      </c>
      <c r="AD69" s="363">
        <f t="shared" ref="AD69" si="124">AD67/AD$14</f>
        <v>0.12324929971988796</v>
      </c>
      <c r="AE69" s="363">
        <f>AE67/AE$14</f>
        <v>0.20196506550218341</v>
      </c>
      <c r="AF69" s="374"/>
      <c r="AG69" s="374"/>
      <c r="AH69" s="363">
        <f>AH67/AH14</f>
        <v>0.26790052977118306</v>
      </c>
      <c r="AI69" s="363">
        <f>AI67/AI14</f>
        <v>0.26483629044179025</v>
      </c>
      <c r="AJ69" s="363">
        <f>AJ67/AJ14</f>
        <v>0.26310830175662014</v>
      </c>
    </row>
    <row r="70" spans="1:36" x14ac:dyDescent="0.25">
      <c r="B70" s="158" t="s">
        <v>129</v>
      </c>
      <c r="C70" s="106"/>
      <c r="E70" s="107"/>
      <c r="F70" s="107"/>
      <c r="G70" s="107"/>
      <c r="H70" s="107"/>
      <c r="I70" s="144"/>
      <c r="J70" s="144"/>
      <c r="K70" s="144"/>
      <c r="L70" s="144"/>
      <c r="M70" s="144"/>
      <c r="N70" s="376"/>
      <c r="O70" s="376"/>
      <c r="P70" s="376"/>
      <c r="Q70" s="376"/>
      <c r="R70" s="376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393">
        <v>2946</v>
      </c>
      <c r="AI70" s="393">
        <v>3374</v>
      </c>
      <c r="AJ70" s="393">
        <v>3915</v>
      </c>
    </row>
    <row r="71" spans="1:36" x14ac:dyDescent="0.25">
      <c r="B71" s="150"/>
      <c r="C71" s="106"/>
      <c r="E71" s="107"/>
      <c r="F71" s="107"/>
      <c r="G71" s="107"/>
      <c r="H71" s="107"/>
      <c r="I71" s="127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30"/>
      <c r="Y71" s="128"/>
      <c r="Z71" s="130"/>
      <c r="AA71" s="130"/>
      <c r="AB71" s="130"/>
      <c r="AC71" s="130"/>
      <c r="AD71" s="128"/>
      <c r="AE71" s="130"/>
      <c r="AF71" s="130"/>
      <c r="AG71" s="130"/>
      <c r="AH71" s="130"/>
      <c r="AI71" s="130"/>
      <c r="AJ71" s="130"/>
    </row>
    <row r="72" spans="1:36" x14ac:dyDescent="0.25">
      <c r="B72" s="135" t="s">
        <v>18</v>
      </c>
      <c r="C72" s="136"/>
      <c r="D72" s="135"/>
      <c r="E72" s="137"/>
      <c r="F72" s="137"/>
      <c r="G72" s="137"/>
      <c r="H72" s="137"/>
      <c r="I72" s="138">
        <f>I46+I95</f>
        <v>-387.38099999999997</v>
      </c>
      <c r="J72" s="138">
        <f>J46+J95</f>
        <v>-291.6169999999999</v>
      </c>
      <c r="K72" s="138">
        <f t="shared" ref="K72:M72" si="125">K46+K95</f>
        <v>-519.41500000000008</v>
      </c>
      <c r="L72" s="138">
        <f t="shared" si="125"/>
        <v>512.17499999999984</v>
      </c>
      <c r="M72" s="138">
        <f t="shared" si="125"/>
        <v>-3165.4139999999989</v>
      </c>
      <c r="N72" s="138">
        <f t="shared" ref="N72:AB72" si="126">N46+N95</f>
        <v>-3464.2709999999997</v>
      </c>
      <c r="O72" s="138">
        <f t="shared" si="126"/>
        <v>-408.69300000000004</v>
      </c>
      <c r="P72" s="138">
        <f t="shared" si="126"/>
        <v>22.509999999999977</v>
      </c>
      <c r="Q72" s="138">
        <f t="shared" si="126"/>
        <v>959.44799999999975</v>
      </c>
      <c r="R72" s="138">
        <f t="shared" si="126"/>
        <v>-5.6289999999997633</v>
      </c>
      <c r="S72" s="138">
        <f>S46+S95</f>
        <v>567.63599999999997</v>
      </c>
      <c r="T72" s="138">
        <f t="shared" si="126"/>
        <v>24.100999999999914</v>
      </c>
      <c r="U72" s="138">
        <f t="shared" si="126"/>
        <v>424.05999999999989</v>
      </c>
      <c r="V72" s="138">
        <f t="shared" si="126"/>
        <v>1271.5329999999997</v>
      </c>
      <c r="W72" s="138">
        <f t="shared" si="126"/>
        <v>163.30600000000044</v>
      </c>
      <c r="X72" s="138">
        <f>X46+X95</f>
        <v>1883</v>
      </c>
      <c r="Y72" s="138">
        <f t="shared" si="126"/>
        <v>6</v>
      </c>
      <c r="Z72" s="138">
        <f t="shared" si="126"/>
        <v>543</v>
      </c>
      <c r="AA72" s="138">
        <f t="shared" si="126"/>
        <v>1524</v>
      </c>
      <c r="AB72" s="138">
        <f t="shared" si="126"/>
        <v>-511</v>
      </c>
      <c r="AC72" s="138">
        <f>1518+AC95</f>
        <v>1562</v>
      </c>
      <c r="AD72" s="138">
        <f t="shared" ref="AD72" si="127">AD46+AD95</f>
        <v>101</v>
      </c>
      <c r="AE72" s="139"/>
      <c r="AF72" s="139"/>
      <c r="AG72" s="140"/>
      <c r="AH72" s="138">
        <f>AH46+AH95</f>
        <v>2760.1627000000003</v>
      </c>
      <c r="AI72" s="138">
        <f>AI46+AI95</f>
        <v>3339.2322599999993</v>
      </c>
      <c r="AJ72" s="138">
        <f>AJ46+AJ95</f>
        <v>3913.9621250999985</v>
      </c>
    </row>
    <row r="73" spans="1:36" x14ac:dyDescent="0.25">
      <c r="A73" s="114"/>
      <c r="B73" s="131" t="s">
        <v>118</v>
      </c>
      <c r="C73" s="106"/>
      <c r="E73" s="107"/>
      <c r="F73" s="107"/>
      <c r="G73" s="107"/>
      <c r="H73" s="107"/>
      <c r="I73" s="127"/>
      <c r="J73" s="146"/>
      <c r="K73" s="146"/>
      <c r="L73" s="146"/>
      <c r="M73" s="146"/>
      <c r="N73" s="134">
        <f t="shared" ref="N73:Y73" si="128">N72/I72-1</f>
        <v>7.9428004987338046</v>
      </c>
      <c r="O73" s="134">
        <f t="shared" si="128"/>
        <v>0.4014717934825478</v>
      </c>
      <c r="P73" s="134">
        <f t="shared" si="128"/>
        <v>-1.0433372159063561</v>
      </c>
      <c r="Q73" s="134">
        <f t="shared" si="128"/>
        <v>0.8732815932054474</v>
      </c>
      <c r="R73" s="134">
        <f t="shared" si="128"/>
        <v>-0.99822171760155232</v>
      </c>
      <c r="S73" s="134">
        <f t="shared" si="128"/>
        <v>-1.1638543866804878</v>
      </c>
      <c r="T73" s="134">
        <f t="shared" si="128"/>
        <v>-1.058970914598488</v>
      </c>
      <c r="U73" s="134">
        <f t="shared" si="128"/>
        <v>17.838738338516229</v>
      </c>
      <c r="V73" s="134">
        <f t="shared" si="128"/>
        <v>0.32527557512236194</v>
      </c>
      <c r="W73" s="134">
        <f t="shared" si="128"/>
        <v>-30.011547344112152</v>
      </c>
      <c r="X73" s="134">
        <f t="shared" si="128"/>
        <v>2.3172666990818063</v>
      </c>
      <c r="Y73" s="134">
        <f t="shared" si="128"/>
        <v>-0.75104767437035713</v>
      </c>
      <c r="Z73" s="134">
        <f t="shared" ref="Z73" si="129">Z72/U72-1</f>
        <v>0.28047917747488604</v>
      </c>
      <c r="AA73" s="134">
        <f>AA72/V72-1</f>
        <v>0.19855324242469563</v>
      </c>
      <c r="AB73" s="134">
        <f t="shared" ref="AB73" si="130">AB72/W72-1</f>
        <v>-4.1290950730530334</v>
      </c>
      <c r="AC73" s="134">
        <f>AC72/X72-1</f>
        <v>-0.17047265002655332</v>
      </c>
      <c r="AD73" s="134">
        <f>AD72/Y72-1</f>
        <v>15.833333333333332</v>
      </c>
      <c r="AE73" s="130"/>
      <c r="AF73" s="130"/>
      <c r="AG73" s="130"/>
      <c r="AH73" s="134">
        <f>AH72/AC72-1</f>
        <v>0.76706959026888621</v>
      </c>
      <c r="AI73" s="134">
        <f>AI72/AH72-1</f>
        <v>0.20979544430478647</v>
      </c>
      <c r="AJ73" s="134">
        <f>AJ72/AI72-1</f>
        <v>0.17211437251148243</v>
      </c>
    </row>
    <row r="74" spans="1:36" s="365" customFormat="1" x14ac:dyDescent="0.25">
      <c r="B74" s="150" t="s">
        <v>128</v>
      </c>
      <c r="C74" s="364"/>
      <c r="E74" s="366"/>
      <c r="F74" s="366"/>
      <c r="G74" s="366"/>
      <c r="H74" s="366"/>
      <c r="I74" s="363">
        <f>I72/I$14</f>
        <v>-8.061638557416187E-2</v>
      </c>
      <c r="J74" s="363">
        <f t="shared" ref="J74:M74" si="131">J72/J$14</f>
        <v>-0.34640841975220638</v>
      </c>
      <c r="K74" s="363">
        <f t="shared" si="131"/>
        <v>-1.5515392473728546</v>
      </c>
      <c r="L74" s="363">
        <f t="shared" si="131"/>
        <v>0.38155641194310486</v>
      </c>
      <c r="M74" s="363">
        <f t="shared" si="131"/>
        <v>-3.6838666579770583</v>
      </c>
      <c r="N74" s="363">
        <f t="shared" ref="N74:AB74" si="132">N72/N$14</f>
        <v>-1.025478664815187</v>
      </c>
      <c r="O74" s="363">
        <f t="shared" si="132"/>
        <v>-0.46079198499102531</v>
      </c>
      <c r="P74" s="363">
        <f t="shared" si="132"/>
        <v>1.6858948049574728E-2</v>
      </c>
      <c r="Q74" s="363">
        <f t="shared" si="132"/>
        <v>0.42881660761086809</v>
      </c>
      <c r="R74" s="363">
        <f t="shared" si="132"/>
        <v>-3.6738119666150817E-3</v>
      </c>
      <c r="S74" s="363">
        <f t="shared" si="132"/>
        <v>9.4736104249836431E-2</v>
      </c>
      <c r="T74" s="363">
        <f t="shared" si="132"/>
        <v>1.597217113769489E-2</v>
      </c>
      <c r="U74" s="363">
        <f t="shared" si="132"/>
        <v>0.20153918027932985</v>
      </c>
      <c r="V74" s="363">
        <f t="shared" si="132"/>
        <v>0.44082949372661989</v>
      </c>
      <c r="W74" s="363">
        <f t="shared" si="132"/>
        <v>8.5880646589669887E-2</v>
      </c>
      <c r="X74" s="363">
        <f t="shared" si="132"/>
        <v>0.22419335635194665</v>
      </c>
      <c r="Y74" s="363">
        <f t="shared" si="132"/>
        <v>3.3003300330033004E-3</v>
      </c>
      <c r="Z74" s="363">
        <f t="shared" si="132"/>
        <v>0.21859903381642512</v>
      </c>
      <c r="AA74" s="363">
        <f t="shared" si="132"/>
        <v>0.44863114512805419</v>
      </c>
      <c r="AB74" s="363">
        <f t="shared" si="132"/>
        <v>-0.23038773669972948</v>
      </c>
      <c r="AC74" s="363">
        <f>AC72/AC$14</f>
        <v>0.15750731067863266</v>
      </c>
      <c r="AD74" s="363">
        <f t="shared" ref="AD74" si="133">AD72/AD$14</f>
        <v>4.7152194211017739E-2</v>
      </c>
      <c r="AE74" s="374"/>
      <c r="AF74" s="374"/>
      <c r="AG74" s="374"/>
      <c r="AH74" s="363">
        <f>AH72/AH$14</f>
        <v>0.24737738960538466</v>
      </c>
      <c r="AI74" s="363">
        <f>AI72/AI$14</f>
        <v>0.26484605218460588</v>
      </c>
      <c r="AJ74" s="363">
        <f>AJ72/AJ$14</f>
        <v>0.27471669404292276</v>
      </c>
    </row>
    <row r="75" spans="1:36" x14ac:dyDescent="0.25">
      <c r="B75" s="150"/>
      <c r="C75" s="106"/>
      <c r="E75" s="107"/>
      <c r="F75" s="107"/>
      <c r="G75" s="107"/>
      <c r="H75" s="10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30"/>
      <c r="AI75" s="130"/>
      <c r="AJ75" s="130"/>
    </row>
    <row r="76" spans="1:36" x14ac:dyDescent="0.25">
      <c r="B76" s="1" t="s">
        <v>105</v>
      </c>
      <c r="C76" s="106"/>
      <c r="E76" s="107"/>
      <c r="F76" s="107"/>
      <c r="G76" s="107"/>
      <c r="H76" s="10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30"/>
      <c r="AI76" s="130"/>
      <c r="AJ76" s="130"/>
    </row>
    <row r="77" spans="1:36" x14ac:dyDescent="0.25">
      <c r="B77" t="s">
        <v>106</v>
      </c>
      <c r="C77" s="106"/>
      <c r="E77" s="107"/>
      <c r="F77" s="107"/>
      <c r="G77" s="107"/>
      <c r="H77" s="107"/>
      <c r="I77" s="144">
        <f>'Raw Input'!I31</f>
        <v>-2.59</v>
      </c>
      <c r="J77" s="144">
        <f>'Raw Input'!J31</f>
        <v>-1.3</v>
      </c>
      <c r="K77" s="144">
        <f>'Raw Input'!K31</f>
        <v>-2.1800000000000002</v>
      </c>
      <c r="L77" s="144">
        <f ca="1">'Raw Input'!L31</f>
        <v>0</v>
      </c>
      <c r="M77" s="144">
        <f ca="1">'Raw Input'!M31</f>
        <v>-12.64</v>
      </c>
      <c r="N77" s="144">
        <f>'Raw Input'!N31</f>
        <v>-16.12</v>
      </c>
      <c r="O77" s="144">
        <f>'Raw Input'!O31</f>
        <v>-1.95</v>
      </c>
      <c r="P77" s="144">
        <f>'Raw Input'!P31</f>
        <v>-0.11</v>
      </c>
      <c r="Q77" s="144">
        <f>'Raw Input'!Q31</f>
        <v>1.34</v>
      </c>
      <c r="R77" s="144">
        <f>'Raw Input'!R31</f>
        <v>0.14999999999999991</v>
      </c>
      <c r="S77" s="144">
        <f>'Raw Input'!S31</f>
        <v>-0.56999999999999995</v>
      </c>
      <c r="T77" s="144">
        <f>'Raw Input'!T31</f>
        <v>-0.03</v>
      </c>
      <c r="U77" s="144">
        <f>'Raw Input'!U31</f>
        <v>0.59</v>
      </c>
      <c r="V77" s="144">
        <f>'Raw Input'!V31</f>
        <v>1.9</v>
      </c>
      <c r="W77" s="144">
        <f>'Raw Input'!W31</f>
        <v>0.54000000000000015</v>
      </c>
      <c r="X77" s="144">
        <f>'Raw Input'!X31</f>
        <v>3</v>
      </c>
      <c r="Y77" s="144">
        <f>'Raw Input'!Y31</f>
        <v>0.18</v>
      </c>
      <c r="Z77" s="144">
        <f>'Raw Input'!Z31</f>
        <v>1.02</v>
      </c>
      <c r="AA77" s="144">
        <f>'Raw Input'!AA31</f>
        <v>6.83</v>
      </c>
      <c r="AB77" s="144">
        <f>'Raw Input'!AB31</f>
        <v>-0.53</v>
      </c>
      <c r="AC77" s="144">
        <f>'Raw Input'!AC31</f>
        <v>7.5</v>
      </c>
      <c r="AD77" s="144">
        <f>'Raw Input'!AD31</f>
        <v>0.41</v>
      </c>
      <c r="AE77" s="144">
        <v>0.87</v>
      </c>
      <c r="AF77" s="144"/>
      <c r="AG77" s="144"/>
      <c r="AH77" s="166">
        <f>AH67/$AC$82</f>
        <v>4.6925490439998887</v>
      </c>
      <c r="AI77" s="166">
        <f t="shared" ref="AI77:AJ77" si="134">AI67/$AC$82</f>
        <v>5.2419296420478325</v>
      </c>
      <c r="AJ77" s="166">
        <f t="shared" si="134"/>
        <v>5.8847319611416236</v>
      </c>
    </row>
    <row r="78" spans="1:36" s="1" customFormat="1" x14ac:dyDescent="0.25">
      <c r="B78" s="157" t="s">
        <v>107</v>
      </c>
      <c r="C78" s="370"/>
      <c r="D78" s="371"/>
      <c r="E78" s="372"/>
      <c r="F78" s="372"/>
      <c r="G78" s="372"/>
      <c r="H78" s="372"/>
      <c r="I78" s="373">
        <f>'Raw Input'!I32</f>
        <v>-2.59</v>
      </c>
      <c r="J78" s="373">
        <f>'Raw Input'!J32</f>
        <v>-1.3</v>
      </c>
      <c r="K78" s="373">
        <f>'Raw Input'!K32</f>
        <v>-2.1800000000000002</v>
      </c>
      <c r="L78" s="373">
        <f ca="1">'Raw Input'!L32</f>
        <v>0</v>
      </c>
      <c r="M78" s="373">
        <f ca="1">'Raw Input'!M32</f>
        <v>-12.64</v>
      </c>
      <c r="N78" s="373">
        <f>'Raw Input'!N32</f>
        <v>-16.12</v>
      </c>
      <c r="O78" s="373">
        <f>'Raw Input'!O32</f>
        <v>-1.95</v>
      </c>
      <c r="P78" s="373">
        <f>'Raw Input'!P32</f>
        <v>-0.11</v>
      </c>
      <c r="Q78" s="373">
        <f>'Raw Input'!Q32</f>
        <v>1.22</v>
      </c>
      <c r="R78" s="373">
        <f>'Raw Input'!R32</f>
        <v>0.27</v>
      </c>
      <c r="S78" s="373">
        <f>'Raw Input'!S32</f>
        <v>-0.56999999999999995</v>
      </c>
      <c r="T78" s="373">
        <f>'Raw Input'!T32</f>
        <v>-0.03</v>
      </c>
      <c r="U78" s="373">
        <f>'Raw Input'!U32</f>
        <v>0.56000000000000005</v>
      </c>
      <c r="V78" s="373">
        <f>'Raw Input'!V32</f>
        <v>1.79</v>
      </c>
      <c r="W78" s="373">
        <f>'Raw Input'!W32</f>
        <v>0.47999999999999976</v>
      </c>
      <c r="X78" s="373">
        <f>'Raw Input'!X32</f>
        <v>2.8</v>
      </c>
      <c r="Y78" s="373">
        <f>'Raw Input'!Y32</f>
        <v>0.18</v>
      </c>
      <c r="Z78" s="373">
        <f>'Raw Input'!Z32</f>
        <v>0.98</v>
      </c>
      <c r="AA78" s="373">
        <f>'Raw Input'!AA32</f>
        <v>6.83</v>
      </c>
      <c r="AB78" s="373">
        <f>'Raw Input'!AB32</f>
        <v>-0.78999999999999981</v>
      </c>
      <c r="AC78" s="373">
        <f>'Raw Input'!AC32</f>
        <v>7.2</v>
      </c>
      <c r="AD78" s="373">
        <f>'Raw Input'!AD32</f>
        <v>0.41</v>
      </c>
      <c r="AE78" s="373">
        <v>0.86</v>
      </c>
      <c r="AF78" s="373"/>
      <c r="AG78" s="373"/>
      <c r="AH78" s="384">
        <f>AH67/$AC$83</f>
        <v>4.5153379773835782</v>
      </c>
      <c r="AI78" s="384">
        <f t="shared" ref="AI78:AJ78" si="135">AI67/$AC$83</f>
        <v>5.043971573994666</v>
      </c>
      <c r="AJ78" s="384">
        <f t="shared" si="135"/>
        <v>5.6624988810380881</v>
      </c>
    </row>
    <row r="79" spans="1:36" x14ac:dyDescent="0.25">
      <c r="B79" s="158" t="s">
        <v>129</v>
      </c>
      <c r="C79" s="106"/>
      <c r="E79" s="107"/>
      <c r="F79" s="107"/>
      <c r="G79" s="107"/>
      <c r="H79" s="107"/>
      <c r="I79" s="144"/>
      <c r="J79" s="144"/>
      <c r="K79" s="144"/>
      <c r="L79" s="144"/>
      <c r="M79" s="144"/>
      <c r="N79" s="376"/>
      <c r="O79" s="376"/>
      <c r="P79" s="376"/>
      <c r="Q79" s="376"/>
      <c r="R79" s="376"/>
      <c r="S79" s="393">
        <v>-0.56999999999999995</v>
      </c>
      <c r="T79" s="393"/>
      <c r="U79" s="393"/>
      <c r="V79" s="393"/>
      <c r="W79" s="393"/>
      <c r="X79" s="393">
        <v>2.79</v>
      </c>
      <c r="Y79" s="393"/>
      <c r="Z79" s="393"/>
      <c r="AA79" s="393"/>
      <c r="AB79" s="393"/>
      <c r="AC79" s="393">
        <v>7.24</v>
      </c>
      <c r="AD79" s="393"/>
      <c r="AE79" s="393"/>
      <c r="AF79" s="393"/>
      <c r="AG79" s="393"/>
      <c r="AH79" s="393">
        <v>4.54</v>
      </c>
      <c r="AI79" s="393">
        <v>5.13</v>
      </c>
      <c r="AJ79" s="393">
        <v>5.96</v>
      </c>
    </row>
    <row r="80" spans="1:36" x14ac:dyDescent="0.25">
      <c r="C80" s="106"/>
      <c r="E80" s="107"/>
      <c r="F80" s="107"/>
      <c r="G80" s="107"/>
      <c r="H80" s="10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  <c r="AH80" s="130"/>
      <c r="AI80" s="130"/>
      <c r="AJ80" s="130"/>
    </row>
    <row r="81" spans="2:36" x14ac:dyDescent="0.25">
      <c r="B81" s="1" t="s">
        <v>108</v>
      </c>
      <c r="C81" s="106"/>
      <c r="E81" s="107"/>
      <c r="F81" s="107"/>
      <c r="G81" s="107"/>
      <c r="H81" s="10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30"/>
      <c r="AI81" s="130"/>
      <c r="AJ81" s="130"/>
    </row>
    <row r="82" spans="2:36" x14ac:dyDescent="0.25">
      <c r="B82" t="s">
        <v>106</v>
      </c>
      <c r="C82" s="106"/>
      <c r="E82" s="107"/>
      <c r="F82" s="107"/>
      <c r="G82" s="107"/>
      <c r="H82" s="107"/>
      <c r="I82" s="127">
        <f>'Raw Input'!I35</f>
        <v>260.55599999999998</v>
      </c>
      <c r="J82" s="127">
        <f>'Raw Input'!J35</f>
        <v>262.50900000000001</v>
      </c>
      <c r="K82" s="127">
        <f>'Raw Input'!K35</f>
        <v>263.517</v>
      </c>
      <c r="L82" s="127">
        <f>'Raw Input'!L35</f>
        <v>265.137</v>
      </c>
      <c r="M82" s="127">
        <f>'Raw Input'!M35</f>
        <v>0</v>
      </c>
      <c r="N82" s="127">
        <f>'Raw Input'!N35</f>
        <v>284.363</v>
      </c>
      <c r="O82" s="127">
        <f>'Raw Input'!O35</f>
        <v>600.96</v>
      </c>
      <c r="P82" s="127">
        <f>'Raw Input'!P35</f>
        <v>611.73900000000003</v>
      </c>
      <c r="Q82" s="127">
        <f>'Raw Input'!Q35</f>
        <v>621.01199999999994</v>
      </c>
      <c r="R82" s="127">
        <f>'Raw Input'!R35</f>
        <v>0</v>
      </c>
      <c r="S82" s="127">
        <f>'Raw Input'!S35</f>
        <v>615.89099999999996</v>
      </c>
      <c r="T82" s="127">
        <f>'Raw Input'!T35</f>
        <v>635.31399999999996</v>
      </c>
      <c r="U82" s="127">
        <f>'Raw Input'!U35</f>
        <v>638.40700000000004</v>
      </c>
      <c r="V82" s="127">
        <f>'Raw Input'!V35</f>
        <v>639</v>
      </c>
      <c r="W82" s="127">
        <f>'Raw Input'!W35</f>
        <v>0</v>
      </c>
      <c r="X82" s="127">
        <f>'Raw Input'!X35</f>
        <v>637</v>
      </c>
      <c r="Y82" s="127">
        <f>'Raw Input'!Y35</f>
        <v>634</v>
      </c>
      <c r="Z82" s="127">
        <f>'Raw Input'!Z35</f>
        <v>635</v>
      </c>
      <c r="AA82" s="127">
        <f>'Raw Input'!AA35</f>
        <v>640</v>
      </c>
      <c r="AB82" s="127">
        <f>'Raw Input'!AB35</f>
        <v>0</v>
      </c>
      <c r="AC82" s="127">
        <f>'Raw Input'!AC35</f>
        <v>637</v>
      </c>
      <c r="AD82" s="127">
        <f>'Raw Input'!AD35</f>
        <v>638</v>
      </c>
      <c r="AE82" s="127"/>
      <c r="AF82" s="127"/>
      <c r="AG82" s="127"/>
      <c r="AH82" s="130"/>
      <c r="AI82" s="130"/>
      <c r="AJ82" s="130"/>
    </row>
    <row r="83" spans="2:36" x14ac:dyDescent="0.25">
      <c r="B83" t="s">
        <v>107</v>
      </c>
      <c r="I83" s="127">
        <f>'Raw Input'!I36</f>
        <v>260.55599999999998</v>
      </c>
      <c r="J83" s="127">
        <f>'Raw Input'!J36</f>
        <v>262.50900000000001</v>
      </c>
      <c r="K83" s="127">
        <f>'Raw Input'!K36</f>
        <v>263.517</v>
      </c>
      <c r="L83" s="127">
        <f>'Raw Input'!L36</f>
        <v>299.20600000000002</v>
      </c>
      <c r="M83" s="127">
        <f>'Raw Input'!M36</f>
        <v>0</v>
      </c>
      <c r="N83" s="127">
        <f>'Raw Input'!N36</f>
        <v>284.363</v>
      </c>
      <c r="O83" s="127">
        <f>'Raw Input'!O36</f>
        <v>600.96</v>
      </c>
      <c r="P83" s="127">
        <f>'Raw Input'!P36</f>
        <v>611.73900000000003</v>
      </c>
      <c r="Q83" s="127">
        <f>'Raw Input'!Q36</f>
        <v>681.91600000000005</v>
      </c>
      <c r="R83" s="127">
        <f>'Raw Input'!R36</f>
        <v>0</v>
      </c>
      <c r="S83" s="127">
        <f>'Raw Input'!S36</f>
        <v>615.89099999999996</v>
      </c>
      <c r="T83" s="127">
        <f>'Raw Input'!T36</f>
        <v>635.31399999999996</v>
      </c>
      <c r="U83" s="127">
        <f>'Raw Input'!U36</f>
        <v>683.53599999999994</v>
      </c>
      <c r="V83" s="127">
        <f>'Raw Input'!V36</f>
        <v>680</v>
      </c>
      <c r="W83" s="127">
        <f>'Raw Input'!W36</f>
        <v>0</v>
      </c>
      <c r="X83" s="127">
        <f>'Raw Input'!X36</f>
        <v>680</v>
      </c>
      <c r="Y83" s="127">
        <f>'Raw Input'!Y36</f>
        <v>670</v>
      </c>
      <c r="Z83" s="127">
        <f>'Raw Input'!Z36</f>
        <v>665</v>
      </c>
      <c r="AA83" s="127">
        <f>'Raw Input'!AA36</f>
        <v>660</v>
      </c>
      <c r="AB83" s="127">
        <f>'Raw Input'!AB36</f>
        <v>0</v>
      </c>
      <c r="AC83" s="127">
        <f>'Raw Input'!AC36</f>
        <v>662</v>
      </c>
      <c r="AD83" s="127">
        <f>'Raw Input'!AD36</f>
        <v>654</v>
      </c>
      <c r="AE83" s="127"/>
      <c r="AF83" s="127"/>
      <c r="AG83" s="127"/>
      <c r="AH83" s="130"/>
      <c r="AI83" s="130"/>
      <c r="AJ83" s="130"/>
    </row>
    <row r="84" spans="2:36" x14ac:dyDescent="0.25"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30"/>
      <c r="AI84" s="130"/>
      <c r="AJ84" s="130"/>
    </row>
    <row r="85" spans="2:36" x14ac:dyDescent="0.25"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30"/>
      <c r="AI85" s="130"/>
      <c r="AJ85" s="130"/>
    </row>
    <row r="86" spans="2:36" x14ac:dyDescent="0.25"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30"/>
      <c r="AI86" s="130"/>
      <c r="AJ86" s="130"/>
    </row>
    <row r="87" spans="2:36" x14ac:dyDescent="0.25"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30"/>
      <c r="AI87" s="130"/>
      <c r="AJ87" s="130"/>
    </row>
    <row r="88" spans="2:36" x14ac:dyDescent="0.25">
      <c r="B88" s="106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30"/>
      <c r="AI88" s="130"/>
      <c r="AJ88" s="130"/>
    </row>
    <row r="89" spans="2:36" x14ac:dyDescent="0.25">
      <c r="B89" s="106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30"/>
      <c r="AI89" s="130"/>
      <c r="AJ89" s="130"/>
    </row>
    <row r="90" spans="2:36" x14ac:dyDescent="0.25">
      <c r="B90" s="106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30"/>
      <c r="AI90" s="130"/>
      <c r="AJ90" s="130"/>
    </row>
    <row r="91" spans="2:36" x14ac:dyDescent="0.25">
      <c r="B91" s="114" t="s">
        <v>109</v>
      </c>
      <c r="C91" s="115"/>
      <c r="D91" s="115"/>
      <c r="E91" s="115"/>
      <c r="F91" s="115"/>
      <c r="G91" s="115"/>
      <c r="H91" s="115"/>
      <c r="I91" s="346"/>
      <c r="J91" s="346"/>
      <c r="K91" s="346"/>
      <c r="L91" s="346"/>
      <c r="M91" s="346"/>
      <c r="N91" s="346"/>
      <c r="O91" s="346"/>
      <c r="P91" s="346"/>
      <c r="Q91" s="346"/>
      <c r="R91" s="346"/>
      <c r="S91" s="346"/>
      <c r="T91" s="346"/>
      <c r="U91" s="346"/>
      <c r="V91" s="346"/>
      <c r="W91" s="346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7"/>
      <c r="AI91" s="347"/>
      <c r="AJ91" s="347"/>
    </row>
    <row r="92" spans="2:36" x14ac:dyDescent="0.25">
      <c r="B92" s="1" t="s">
        <v>110</v>
      </c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30"/>
      <c r="AI92" s="130"/>
      <c r="AJ92" s="130"/>
    </row>
    <row r="93" spans="2:36" x14ac:dyDescent="0.25">
      <c r="B93" s="1" t="s">
        <v>104</v>
      </c>
      <c r="I93" s="127">
        <f>'Raw Input'!I44</f>
        <v>-674.33900000000006</v>
      </c>
      <c r="J93" s="127"/>
      <c r="K93" s="127"/>
      <c r="L93" s="127"/>
      <c r="M93" s="127"/>
      <c r="N93" s="127">
        <f>'Raw Input'!N44</f>
        <v>-4584.7160000000003</v>
      </c>
      <c r="O93" s="127"/>
      <c r="P93" s="127"/>
      <c r="Q93" s="127"/>
      <c r="R93" s="127"/>
      <c r="S93" s="127">
        <f>'Raw Input'!S44</f>
        <v>-352.03399999999999</v>
      </c>
      <c r="T93" s="127"/>
      <c r="U93" s="127"/>
      <c r="V93" s="127"/>
      <c r="W93" s="127"/>
      <c r="X93" s="127">
        <f>'Raw Input'!X44</f>
        <v>1893</v>
      </c>
      <c r="Y93" s="127"/>
      <c r="Z93" s="127"/>
      <c r="AA93" s="127"/>
      <c r="AB93" s="127"/>
      <c r="AC93" s="127">
        <f>'Raw Input'!AC44</f>
        <v>4792</v>
      </c>
      <c r="AD93" s="127"/>
      <c r="AE93" s="127"/>
      <c r="AF93" s="127"/>
      <c r="AG93" s="127"/>
      <c r="AH93" s="130"/>
      <c r="AI93" s="130"/>
      <c r="AJ93" s="130"/>
    </row>
    <row r="94" spans="2:36" x14ac:dyDescent="0.25">
      <c r="B94" s="1" t="s">
        <v>111</v>
      </c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30"/>
      <c r="AI94" s="130"/>
      <c r="AJ94" s="130"/>
    </row>
    <row r="95" spans="2:36" x14ac:dyDescent="0.25">
      <c r="B95" t="s">
        <v>102</v>
      </c>
      <c r="I95" s="127">
        <f>'Raw Input'!I46</f>
        <v>114.16200000000001</v>
      </c>
      <c r="J95" s="127">
        <f>'Raw Input'!J46</f>
        <v>33.872</v>
      </c>
      <c r="K95" s="127">
        <f>'Raw Input'!K46</f>
        <v>63.8</v>
      </c>
      <c r="L95" s="127">
        <f>'Raw Input'!L46</f>
        <v>93.438000000000002</v>
      </c>
      <c r="M95" s="127">
        <f>'Raw Input'!M46</f>
        <v>-65.233999999999995</v>
      </c>
      <c r="N95" s="127">
        <f>'Raw Input'!N46</f>
        <v>125.876</v>
      </c>
      <c r="O95" s="127">
        <f>'Raw Input'!O46</f>
        <v>38.252000000000002</v>
      </c>
      <c r="P95" s="127">
        <f>'Raw Input'!P46</f>
        <v>73.787999999999997</v>
      </c>
      <c r="Q95" s="127">
        <f>'Raw Input'!Q46</f>
        <v>107.47499999999999</v>
      </c>
      <c r="R95" s="127">
        <f>'Raw Input'!R46</f>
        <v>-81.195999999999998</v>
      </c>
      <c r="S95" s="127">
        <f>'Raw Input'!S46</f>
        <v>138.31899999999999</v>
      </c>
      <c r="T95" s="127">
        <f>'Raw Input'!T46</f>
        <v>29.231999999999999</v>
      </c>
      <c r="U95" s="127">
        <f>'Raw Input'!U46</f>
        <v>55.237000000000002</v>
      </c>
      <c r="V95" s="127">
        <f>'Raw Input'!V46</f>
        <v>68.052000000000007</v>
      </c>
      <c r="W95" s="127">
        <f>'Raw Input'!W46</f>
        <v>-71.521000000000015</v>
      </c>
      <c r="X95" s="127">
        <f>'Raw Input'!X46</f>
        <v>81</v>
      </c>
      <c r="Y95" s="127">
        <f>'Raw Input'!Y46</f>
        <v>11</v>
      </c>
      <c r="Z95" s="127">
        <f>'Raw Input'!Z46</f>
        <v>20</v>
      </c>
      <c r="AA95" s="127">
        <f>'Raw Input'!AA46</f>
        <v>28</v>
      </c>
      <c r="AB95" s="127">
        <f>'Raw Input'!AB46</f>
        <v>-15</v>
      </c>
      <c r="AC95" s="127">
        <f>'Raw Input'!AC46</f>
        <v>44</v>
      </c>
      <c r="AD95" s="127"/>
      <c r="AE95" s="127"/>
      <c r="AF95" s="127"/>
      <c r="AG95" s="127"/>
      <c r="AH95" s="130">
        <v>57.02</v>
      </c>
      <c r="AI95" s="130">
        <v>61.1</v>
      </c>
      <c r="AJ95" s="130">
        <v>67.2</v>
      </c>
    </row>
    <row r="96" spans="2:36" x14ac:dyDescent="0.25">
      <c r="B96" t="s">
        <v>263</v>
      </c>
      <c r="I96" s="127">
        <f>'Raw Input'!I47</f>
        <v>77.052999999999997</v>
      </c>
      <c r="J96" s="127"/>
      <c r="K96" s="127"/>
      <c r="L96" s="127"/>
      <c r="M96" s="127"/>
      <c r="N96" s="127">
        <f>'Raw Input'!N47</f>
        <v>107.685</v>
      </c>
      <c r="O96" s="127"/>
      <c r="P96" s="127"/>
      <c r="Q96" s="127"/>
      <c r="R96" s="127"/>
      <c r="S96" s="127">
        <f>'Raw Input'!S47</f>
        <v>27.285</v>
      </c>
      <c r="T96" s="127"/>
      <c r="U96" s="127"/>
      <c r="V96" s="127"/>
      <c r="W96" s="127"/>
      <c r="X96" s="127">
        <f>'Raw Input'!X47</f>
        <v>49</v>
      </c>
      <c r="Y96" s="127"/>
      <c r="Z96" s="127"/>
      <c r="AA96" s="127"/>
      <c r="AB96" s="127"/>
      <c r="AC96" s="127">
        <f>'Raw Input'!AC47</f>
        <v>0</v>
      </c>
      <c r="AD96" s="127"/>
      <c r="AE96" s="127"/>
      <c r="AF96" s="127"/>
      <c r="AG96" s="127"/>
      <c r="AH96" s="130"/>
      <c r="AI96" s="130"/>
      <c r="AJ96" s="130"/>
    </row>
    <row r="97" spans="2:36" x14ac:dyDescent="0.25">
      <c r="B97" t="s">
        <v>112</v>
      </c>
      <c r="I97" s="127">
        <f>'Raw Input'!I48</f>
        <v>97.546999999999997</v>
      </c>
      <c r="J97" s="127"/>
      <c r="K97" s="127"/>
      <c r="L97" s="127"/>
      <c r="M97" s="127"/>
      <c r="N97" s="127">
        <f>'Raw Input'!N48</f>
        <v>3001.9479999999999</v>
      </c>
      <c r="O97" s="127"/>
      <c r="P97" s="127"/>
      <c r="Q97" s="127"/>
      <c r="R97" s="127"/>
      <c r="S97" s="127">
        <f>'Raw Input'!S48</f>
        <v>898.83</v>
      </c>
      <c r="T97" s="127"/>
      <c r="U97" s="127"/>
      <c r="V97" s="127"/>
      <c r="W97" s="127"/>
      <c r="X97" s="127">
        <f>'Raw Input'!X48</f>
        <v>930</v>
      </c>
      <c r="Y97" s="127"/>
      <c r="Z97" s="127"/>
      <c r="AA97" s="127"/>
      <c r="AB97" s="127"/>
      <c r="AC97" s="127">
        <f>'Raw Input'!AC48</f>
        <v>1120</v>
      </c>
      <c r="AD97" s="127"/>
      <c r="AE97" s="127"/>
      <c r="AF97" s="127"/>
      <c r="AG97" s="127"/>
      <c r="AH97" s="130"/>
      <c r="AI97" s="130"/>
      <c r="AJ97" s="130"/>
    </row>
    <row r="98" spans="2:36" x14ac:dyDescent="0.25">
      <c r="B98" t="s">
        <v>264</v>
      </c>
      <c r="I98" s="127">
        <f>'Raw Input'!I49</f>
        <v>-5.6269999999999998</v>
      </c>
      <c r="J98" s="127"/>
      <c r="K98" s="127"/>
      <c r="L98" s="127"/>
      <c r="M98" s="127"/>
      <c r="N98" s="127">
        <f>'Raw Input'!N49</f>
        <v>-19.600999999999999</v>
      </c>
      <c r="O98" s="127"/>
      <c r="P98" s="127"/>
      <c r="Q98" s="127"/>
      <c r="R98" s="127"/>
      <c r="S98" s="127">
        <f>'Raw Input'!S49</f>
        <v>10.935</v>
      </c>
      <c r="T98" s="127"/>
      <c r="U98" s="127"/>
      <c r="V98" s="127"/>
      <c r="W98" s="127"/>
      <c r="X98" s="127">
        <f>'Raw Input'!X49</f>
        <v>-1</v>
      </c>
      <c r="Y98" s="127"/>
      <c r="Z98" s="127"/>
      <c r="AA98" s="127"/>
      <c r="AB98" s="127"/>
      <c r="AC98" s="127">
        <f>'Raw Input'!AC49</f>
        <v>-2875</v>
      </c>
      <c r="AD98" s="127"/>
      <c r="AE98" s="127"/>
      <c r="AF98" s="127"/>
      <c r="AG98" s="127"/>
      <c r="AH98" s="130"/>
      <c r="AI98" s="130"/>
      <c r="AJ98" s="130"/>
    </row>
    <row r="99" spans="2:36" x14ac:dyDescent="0.25">
      <c r="B99" t="s">
        <v>265</v>
      </c>
      <c r="I99" s="127">
        <f>'Raw Input'!I50</f>
        <v>27.751000000000001</v>
      </c>
      <c r="J99" s="127"/>
      <c r="K99" s="127"/>
      <c r="L99" s="127"/>
      <c r="M99" s="127"/>
      <c r="N99" s="127">
        <f>'Raw Input'!N50</f>
        <v>82.125</v>
      </c>
      <c r="O99" s="127"/>
      <c r="P99" s="127"/>
      <c r="Q99" s="127"/>
      <c r="R99" s="127"/>
      <c r="S99" s="127">
        <f>'Raw Input'!S50</f>
        <v>3.081</v>
      </c>
      <c r="T99" s="127"/>
      <c r="U99" s="127"/>
      <c r="V99" s="127"/>
      <c r="W99" s="127"/>
      <c r="X99" s="127">
        <f>'Raw Input'!X50</f>
        <v>0</v>
      </c>
      <c r="Y99" s="127"/>
      <c r="Z99" s="127"/>
      <c r="AA99" s="127"/>
      <c r="AB99" s="127"/>
      <c r="AC99" s="127">
        <f>'Raw Input'!AC50</f>
        <v>0</v>
      </c>
      <c r="AD99" s="127"/>
      <c r="AE99" s="127"/>
      <c r="AF99" s="127"/>
      <c r="AG99" s="127"/>
      <c r="AH99" s="130"/>
      <c r="AI99" s="130"/>
      <c r="AJ99" s="130"/>
    </row>
    <row r="100" spans="2:36" x14ac:dyDescent="0.25">
      <c r="B100" t="s">
        <v>266</v>
      </c>
      <c r="I100" s="127">
        <f>'Raw Input'!I51</f>
        <v>-38.472000000000001</v>
      </c>
      <c r="J100" s="127"/>
      <c r="K100" s="127"/>
      <c r="L100" s="127"/>
      <c r="M100" s="127"/>
      <c r="N100" s="127">
        <f>'Raw Input'!N51</f>
        <v>31.457000000000001</v>
      </c>
      <c r="O100" s="127"/>
      <c r="P100" s="127"/>
      <c r="Q100" s="127"/>
      <c r="R100" s="127"/>
      <c r="S100" s="127">
        <f>'Raw Input'!S51</f>
        <v>-8.2530000000000001</v>
      </c>
      <c r="T100" s="127"/>
      <c r="U100" s="127"/>
      <c r="V100" s="127"/>
      <c r="W100" s="127"/>
      <c r="X100" s="127">
        <f>'Raw Input'!X51</f>
        <v>-2</v>
      </c>
      <c r="Y100" s="127"/>
      <c r="Z100" s="127"/>
      <c r="AA100" s="127"/>
      <c r="AB100" s="127"/>
      <c r="AC100" s="127">
        <f>'Raw Input'!AC51</f>
        <v>0</v>
      </c>
      <c r="AD100" s="127"/>
      <c r="AE100" s="127"/>
      <c r="AF100" s="127"/>
      <c r="AG100" s="127"/>
      <c r="AH100" s="130"/>
      <c r="AI100" s="130"/>
      <c r="AJ100" s="130"/>
    </row>
    <row r="101" spans="2:36" x14ac:dyDescent="0.25">
      <c r="B101" t="s">
        <v>267</v>
      </c>
      <c r="I101" s="127">
        <f>'Raw Input'!I52</f>
        <v>-286</v>
      </c>
      <c r="J101" s="127"/>
      <c r="K101" s="127"/>
      <c r="L101" s="127"/>
      <c r="M101" s="127"/>
      <c r="N101" s="127">
        <f>'Raw Input'!N52</f>
        <v>868.53899999999999</v>
      </c>
      <c r="O101" s="127"/>
      <c r="P101" s="127"/>
      <c r="Q101" s="127"/>
      <c r="R101" s="127"/>
      <c r="S101" s="127">
        <f>'Raw Input'!S52</f>
        <v>291.98700000000002</v>
      </c>
      <c r="T101" s="127"/>
      <c r="U101" s="127"/>
      <c r="V101" s="127"/>
      <c r="W101" s="127"/>
      <c r="X101" s="127" t="str">
        <f>'Raw Input'!X52</f>
        <v>-</v>
      </c>
      <c r="Y101" s="127"/>
      <c r="Z101" s="127"/>
      <c r="AA101" s="127"/>
      <c r="AB101" s="127"/>
      <c r="AC101" s="127" t="str">
        <f>'Raw Input'!AC52</f>
        <v>-</v>
      </c>
      <c r="AD101" s="127"/>
      <c r="AE101" s="127"/>
      <c r="AF101" s="127"/>
      <c r="AG101" s="127"/>
      <c r="AH101" s="130"/>
      <c r="AI101" s="130"/>
      <c r="AJ101" s="130"/>
    </row>
    <row r="102" spans="2:36" x14ac:dyDescent="0.25">
      <c r="B102" t="s">
        <v>268</v>
      </c>
      <c r="I102" s="127">
        <f>'Raw Input'!I53</f>
        <v>0</v>
      </c>
      <c r="J102" s="127"/>
      <c r="K102" s="127"/>
      <c r="L102" s="127"/>
      <c r="M102" s="127"/>
      <c r="N102" s="127">
        <f>'Raw Input'!N53</f>
        <v>18.323</v>
      </c>
      <c r="O102" s="127"/>
      <c r="P102" s="127"/>
      <c r="Q102" s="127"/>
      <c r="R102" s="127"/>
      <c r="S102" s="127">
        <f>'Raw Input'!S53</f>
        <v>8.4440000000000008</v>
      </c>
      <c r="T102" s="127"/>
      <c r="U102" s="127"/>
      <c r="V102" s="127"/>
      <c r="W102" s="127"/>
      <c r="X102" s="127">
        <f>'Raw Input'!X53</f>
        <v>0</v>
      </c>
      <c r="Y102" s="127"/>
      <c r="Z102" s="127"/>
      <c r="AA102" s="127"/>
      <c r="AB102" s="127"/>
      <c r="AC102" s="127">
        <f>'Raw Input'!AC53</f>
        <v>0</v>
      </c>
      <c r="AD102" s="127"/>
      <c r="AE102" s="127"/>
      <c r="AF102" s="127"/>
      <c r="AG102" s="127"/>
      <c r="AH102" s="130"/>
      <c r="AI102" s="130"/>
      <c r="AJ102" s="130"/>
    </row>
    <row r="103" spans="2:36" x14ac:dyDescent="0.25">
      <c r="B103" t="s">
        <v>269</v>
      </c>
      <c r="I103" s="127">
        <f>'Raw Input'!I54</f>
        <v>4.1529999999999996</v>
      </c>
      <c r="J103" s="127"/>
      <c r="K103" s="127"/>
      <c r="L103" s="127"/>
      <c r="M103" s="127"/>
      <c r="N103" s="127">
        <f>'Raw Input'!N54</f>
        <v>5.7690000000000001</v>
      </c>
      <c r="O103" s="127"/>
      <c r="P103" s="127"/>
      <c r="Q103" s="127"/>
      <c r="R103" s="127"/>
      <c r="S103" s="127">
        <f>'Raw Input'!S54</f>
        <v>6.806</v>
      </c>
      <c r="T103" s="127"/>
      <c r="U103" s="127"/>
      <c r="V103" s="127"/>
      <c r="W103" s="127"/>
      <c r="X103" s="127">
        <f>'Raw Input'!X54</f>
        <v>0</v>
      </c>
      <c r="Y103" s="127"/>
      <c r="Z103" s="127"/>
      <c r="AA103" s="127"/>
      <c r="AB103" s="127"/>
      <c r="AC103" s="127">
        <f>'Raw Input'!AC54</f>
        <v>0</v>
      </c>
      <c r="AD103" s="127"/>
      <c r="AE103" s="127"/>
      <c r="AF103" s="127"/>
      <c r="AG103" s="127"/>
      <c r="AH103" s="130"/>
      <c r="AI103" s="130"/>
      <c r="AJ103" s="130"/>
    </row>
    <row r="104" spans="2:36" x14ac:dyDescent="0.25">
      <c r="B104" t="s">
        <v>270</v>
      </c>
      <c r="I104" s="127">
        <f>'Raw Input'!I55</f>
        <v>2.927</v>
      </c>
      <c r="J104" s="127"/>
      <c r="K104" s="127"/>
      <c r="L104" s="127"/>
      <c r="M104" s="127"/>
      <c r="N104" s="127">
        <f>'Raw Input'!N55</f>
        <v>-53.176000000000002</v>
      </c>
      <c r="O104" s="127"/>
      <c r="P104" s="127"/>
      <c r="Q104" s="127"/>
      <c r="R104" s="127"/>
      <c r="S104" s="127">
        <f>'Raw Input'!S55</f>
        <v>24.370999999999999</v>
      </c>
      <c r="T104" s="127"/>
      <c r="U104" s="127"/>
      <c r="V104" s="127"/>
      <c r="W104" s="127"/>
      <c r="X104" s="127">
        <f>'Raw Input'!X55</f>
        <v>62</v>
      </c>
      <c r="Y104" s="127"/>
      <c r="Z104" s="127"/>
      <c r="AA104" s="127"/>
      <c r="AB104" s="127"/>
      <c r="AC104" s="127">
        <f>'Raw Input'!AC55</f>
        <v>0</v>
      </c>
      <c r="AD104" s="127"/>
      <c r="AE104" s="127"/>
      <c r="AF104" s="127"/>
      <c r="AG104" s="127"/>
      <c r="AH104" s="130"/>
      <c r="AI104" s="130"/>
      <c r="AJ104" s="130"/>
    </row>
    <row r="105" spans="2:36" x14ac:dyDescent="0.25">
      <c r="B105" t="s">
        <v>239</v>
      </c>
      <c r="I105" s="127">
        <f>'Raw Input'!I56</f>
        <v>0</v>
      </c>
      <c r="J105" s="127"/>
      <c r="K105" s="127"/>
      <c r="L105" s="127"/>
      <c r="M105" s="127"/>
      <c r="N105" s="127">
        <f>'Raw Input'!N56</f>
        <v>35.771999999999998</v>
      </c>
      <c r="O105" s="127"/>
      <c r="P105" s="127"/>
      <c r="Q105" s="127"/>
      <c r="R105" s="127"/>
      <c r="S105" s="127">
        <f>'Raw Input'!S56</f>
        <v>112.545</v>
      </c>
      <c r="T105" s="127"/>
      <c r="U105" s="127"/>
      <c r="V105" s="127"/>
      <c r="W105" s="127"/>
      <c r="X105" s="127">
        <f>'Raw Input'!X56</f>
        <v>91</v>
      </c>
      <c r="Y105" s="127"/>
      <c r="Z105" s="127"/>
      <c r="AA105" s="127"/>
      <c r="AB105" s="127"/>
      <c r="AC105" s="127" t="str">
        <f>'Raw Input'!AC56</f>
        <v>-</v>
      </c>
      <c r="AD105" s="127"/>
      <c r="AE105" s="127"/>
      <c r="AF105" s="127"/>
      <c r="AG105" s="127"/>
      <c r="AH105" s="130"/>
      <c r="AI105" s="130"/>
      <c r="AJ105" s="130"/>
    </row>
    <row r="106" spans="2:36" x14ac:dyDescent="0.25">
      <c r="B106" t="s">
        <v>240</v>
      </c>
      <c r="I106" s="127">
        <f>'Raw Input'!I57</f>
        <v>0</v>
      </c>
      <c r="J106" s="127"/>
      <c r="K106" s="127"/>
      <c r="L106" s="127"/>
      <c r="M106" s="127"/>
      <c r="N106" s="127">
        <f>'Raw Input'!N57</f>
        <v>0</v>
      </c>
      <c r="O106" s="127"/>
      <c r="P106" s="127"/>
      <c r="Q106" s="127"/>
      <c r="R106" s="127"/>
      <c r="S106" s="127">
        <f>'Raw Input'!S57</f>
        <v>377.24799999999999</v>
      </c>
      <c r="T106" s="127"/>
      <c r="U106" s="127"/>
      <c r="V106" s="127"/>
      <c r="W106" s="127"/>
      <c r="X106" s="127" t="str">
        <f>'Raw Input'!X57</f>
        <v>-</v>
      </c>
      <c r="Y106" s="127"/>
      <c r="Z106" s="127"/>
      <c r="AA106" s="127"/>
      <c r="AB106" s="127"/>
      <c r="AC106" s="127" t="str">
        <f>'Raw Input'!AC57</f>
        <v>-</v>
      </c>
      <c r="AD106" s="127"/>
      <c r="AE106" s="127"/>
      <c r="AF106" s="127"/>
      <c r="AG106" s="127"/>
      <c r="AH106" s="130"/>
      <c r="AI106" s="130"/>
      <c r="AJ106" s="130"/>
    </row>
    <row r="107" spans="2:36" x14ac:dyDescent="0.25">
      <c r="B107" s="180" t="s">
        <v>241</v>
      </c>
      <c r="I107" s="127">
        <f>'Raw Input'!I58</f>
        <v>-2.524</v>
      </c>
      <c r="J107" s="127"/>
      <c r="K107" s="127"/>
      <c r="L107" s="127"/>
      <c r="M107" s="127"/>
      <c r="N107" s="127">
        <f>'Raw Input'!N58</f>
        <v>34.877000000000002</v>
      </c>
      <c r="O107" s="127"/>
      <c r="P107" s="127"/>
      <c r="Q107" s="127"/>
      <c r="R107" s="127"/>
      <c r="S107" s="127">
        <f>'Raw Input'!S58</f>
        <v>12.207000000000001</v>
      </c>
      <c r="T107" s="127"/>
      <c r="U107" s="127"/>
      <c r="V107" s="127"/>
      <c r="W107" s="127"/>
      <c r="X107" s="127">
        <f>'Raw Input'!X58</f>
        <v>8</v>
      </c>
      <c r="Y107" s="127"/>
      <c r="Z107" s="127"/>
      <c r="AA107" s="127"/>
      <c r="AB107" s="127"/>
      <c r="AC107" s="127">
        <f>'Raw Input'!AC58</f>
        <v>83</v>
      </c>
      <c r="AD107" s="127"/>
      <c r="AE107" s="127"/>
      <c r="AF107" s="127"/>
      <c r="AG107" s="127"/>
      <c r="AH107" s="130"/>
      <c r="AI107" s="130"/>
      <c r="AJ107" s="130"/>
    </row>
    <row r="108" spans="2:36" x14ac:dyDescent="0.25"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30"/>
      <c r="AI108" s="130"/>
      <c r="AJ108" s="130"/>
    </row>
    <row r="109" spans="2:36" x14ac:dyDescent="0.25">
      <c r="B109" s="1" t="s">
        <v>242</v>
      </c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  <c r="AC109" s="127"/>
      <c r="AD109" s="127"/>
      <c r="AE109" s="127"/>
      <c r="AF109" s="127"/>
      <c r="AG109" s="127"/>
      <c r="AH109" s="130"/>
      <c r="AI109" s="130"/>
      <c r="AJ109" s="130"/>
    </row>
    <row r="110" spans="2:36" x14ac:dyDescent="0.25">
      <c r="B110" t="s">
        <v>243</v>
      </c>
      <c r="I110" s="127">
        <f>'Raw Input'!I61</f>
        <v>0</v>
      </c>
      <c r="J110" s="127"/>
      <c r="K110" s="127"/>
      <c r="L110" s="127"/>
      <c r="M110" s="127"/>
      <c r="N110" s="127">
        <f>'Raw Input'!N61</f>
        <v>-4</v>
      </c>
      <c r="O110" s="127"/>
      <c r="P110" s="127"/>
      <c r="Q110" s="127"/>
      <c r="R110" s="127"/>
      <c r="S110" s="127">
        <f>'Raw Input'!S61</f>
        <v>-54</v>
      </c>
      <c r="T110" s="127"/>
      <c r="U110" s="127"/>
      <c r="V110" s="127"/>
      <c r="W110" s="127"/>
      <c r="X110" s="127">
        <f>'Raw Input'!X61</f>
        <v>-226</v>
      </c>
      <c r="Y110" s="127"/>
      <c r="Z110" s="127"/>
      <c r="AA110" s="127"/>
      <c r="AB110" s="127"/>
      <c r="AC110" s="127">
        <f>'Raw Input'!AC61</f>
        <v>-102</v>
      </c>
      <c r="AD110" s="127"/>
      <c r="AE110" s="127"/>
      <c r="AF110" s="127"/>
      <c r="AG110" s="127"/>
      <c r="AH110" s="130"/>
      <c r="AI110" s="130"/>
      <c r="AJ110" s="130"/>
    </row>
    <row r="111" spans="2:36" x14ac:dyDescent="0.25">
      <c r="B111" t="s">
        <v>271</v>
      </c>
      <c r="I111" s="127">
        <f>'Raw Input'!I62</f>
        <v>49.125999999999998</v>
      </c>
      <c r="J111" s="127"/>
      <c r="K111" s="127"/>
      <c r="L111" s="127"/>
      <c r="M111" s="127"/>
      <c r="N111" s="127">
        <f>'Raw Input'!N62</f>
        <v>-33</v>
      </c>
      <c r="O111" s="127"/>
      <c r="P111" s="127"/>
      <c r="Q111" s="127"/>
      <c r="R111" s="127"/>
      <c r="S111" s="127">
        <f>'Raw Input'!S62</f>
        <v>25.155999999999999</v>
      </c>
      <c r="T111" s="127"/>
      <c r="U111" s="127"/>
      <c r="V111" s="127"/>
      <c r="W111" s="127"/>
      <c r="X111" s="127">
        <f>'Raw Input'!X62</f>
        <v>41</v>
      </c>
      <c r="Y111" s="127"/>
      <c r="Z111" s="127"/>
      <c r="AA111" s="127"/>
      <c r="AB111" s="127"/>
      <c r="AC111" s="127">
        <f>'Raw Input'!AC62</f>
        <v>0</v>
      </c>
      <c r="AD111" s="127"/>
      <c r="AE111" s="127"/>
      <c r="AF111" s="127"/>
      <c r="AG111" s="127"/>
      <c r="AH111" s="130"/>
      <c r="AI111" s="130"/>
      <c r="AJ111" s="130"/>
    </row>
    <row r="112" spans="2:36" x14ac:dyDescent="0.25">
      <c r="B112" t="s">
        <v>272</v>
      </c>
      <c r="I112" s="127">
        <f>'Raw Input'!I63</f>
        <v>75.715999999999994</v>
      </c>
      <c r="J112" s="127"/>
      <c r="K112" s="127"/>
      <c r="L112" s="127"/>
      <c r="M112" s="127"/>
      <c r="N112" s="127">
        <f>'Raw Input'!N63</f>
        <v>-73.111000000000004</v>
      </c>
      <c r="O112" s="127"/>
      <c r="P112" s="127"/>
      <c r="Q112" s="127"/>
      <c r="R112" s="127"/>
      <c r="S112" s="127">
        <f>'Raw Input'!S63</f>
        <v>39.945999999999998</v>
      </c>
      <c r="T112" s="127"/>
      <c r="U112" s="127"/>
      <c r="V112" s="127"/>
      <c r="W112" s="127"/>
      <c r="X112" s="127">
        <f>'Raw Input'!X63</f>
        <v>20</v>
      </c>
      <c r="Y112" s="127"/>
      <c r="Z112" s="127"/>
      <c r="AA112" s="127"/>
      <c r="AB112" s="127"/>
      <c r="AC112" s="127">
        <f>'Raw Input'!AC63</f>
        <v>0</v>
      </c>
      <c r="AD112" s="127"/>
      <c r="AE112" s="127"/>
      <c r="AF112" s="127"/>
      <c r="AG112" s="127"/>
      <c r="AH112" s="130"/>
      <c r="AI112" s="130"/>
      <c r="AJ112" s="130"/>
    </row>
    <row r="113" spans="2:36" x14ac:dyDescent="0.25">
      <c r="B113" t="s">
        <v>244</v>
      </c>
      <c r="I113" s="127">
        <f>'Raw Input'!I64</f>
        <v>0</v>
      </c>
      <c r="J113" s="127"/>
      <c r="K113" s="127"/>
      <c r="L113" s="127"/>
      <c r="M113" s="127"/>
      <c r="N113" s="127">
        <f>'Raw Input'!N64</f>
        <v>-79</v>
      </c>
      <c r="O113" s="127"/>
      <c r="P113" s="127"/>
      <c r="Q113" s="127"/>
      <c r="R113" s="127"/>
      <c r="S113" s="127">
        <f>'Raw Input'!S64</f>
        <v>288</v>
      </c>
      <c r="T113" s="127"/>
      <c r="U113" s="127"/>
      <c r="V113" s="127"/>
      <c r="W113" s="127"/>
      <c r="X113" s="127">
        <f>'Raw Input'!X64</f>
        <v>273</v>
      </c>
      <c r="Y113" s="127"/>
      <c r="Z113" s="127"/>
      <c r="AA113" s="127"/>
      <c r="AB113" s="127"/>
      <c r="AC113" s="127">
        <f>'Raw Input'!AC64</f>
        <v>580</v>
      </c>
      <c r="AD113" s="127"/>
      <c r="AE113" s="127"/>
      <c r="AF113" s="127"/>
      <c r="AG113" s="127"/>
      <c r="AH113" s="130"/>
      <c r="AI113" s="130"/>
      <c r="AJ113" s="130"/>
    </row>
    <row r="114" spans="2:36" x14ac:dyDescent="0.25">
      <c r="B114" t="s">
        <v>113</v>
      </c>
      <c r="I114" s="127">
        <f>'Raw Input'!I65</f>
        <v>-41.923000000000002</v>
      </c>
      <c r="J114" s="127"/>
      <c r="K114" s="127"/>
      <c r="L114" s="127"/>
      <c r="M114" s="127"/>
      <c r="N114" s="127">
        <f>'Raw Input'!N65</f>
        <v>60.896999999999998</v>
      </c>
      <c r="O114" s="127"/>
      <c r="P114" s="127"/>
      <c r="Q114" s="127"/>
      <c r="R114" s="127"/>
      <c r="S114" s="127">
        <f>'Raw Input'!S65</f>
        <v>-33.774000000000001</v>
      </c>
      <c r="T114" s="127"/>
      <c r="U114" s="127"/>
      <c r="V114" s="127"/>
      <c r="W114" s="127"/>
      <c r="X114" s="127">
        <f>'Raw Input'!X65</f>
        <v>-69</v>
      </c>
      <c r="Y114" s="127"/>
      <c r="Z114" s="127"/>
      <c r="AA114" s="127"/>
      <c r="AB114" s="127"/>
      <c r="AC114" s="127">
        <f>'Raw Input'!AC65</f>
        <v>0</v>
      </c>
      <c r="AD114" s="127"/>
      <c r="AE114" s="127"/>
      <c r="AF114" s="127"/>
      <c r="AG114" s="127"/>
      <c r="AH114" s="130"/>
      <c r="AI114" s="130"/>
      <c r="AJ114" s="130"/>
    </row>
    <row r="115" spans="2:36" x14ac:dyDescent="0.25">
      <c r="B115" t="s">
        <v>245</v>
      </c>
      <c r="I115" s="127">
        <f>'Raw Input'!I66</f>
        <v>176.25399999999999</v>
      </c>
      <c r="J115" s="127"/>
      <c r="K115" s="127"/>
      <c r="L115" s="127"/>
      <c r="M115" s="127"/>
      <c r="N115" s="127">
        <f>'Raw Input'!N66</f>
        <v>-267.00900000000001</v>
      </c>
      <c r="O115" s="127"/>
      <c r="P115" s="127"/>
      <c r="Q115" s="127"/>
      <c r="R115" s="127"/>
      <c r="S115" s="127">
        <f>'Raw Input'!S66</f>
        <v>495.81599999999997</v>
      </c>
      <c r="T115" s="127"/>
      <c r="U115" s="127"/>
      <c r="V115" s="127"/>
      <c r="W115" s="127"/>
      <c r="X115" s="127">
        <f>'Raw Input'!X66</f>
        <v>280</v>
      </c>
      <c r="Y115" s="127"/>
      <c r="Z115" s="127"/>
      <c r="AA115" s="127"/>
      <c r="AB115" s="127"/>
      <c r="AC115" s="127">
        <f>'Raw Input'!AC66</f>
        <v>242</v>
      </c>
      <c r="AD115" s="127"/>
      <c r="AE115" s="127"/>
      <c r="AF115" s="127"/>
      <c r="AG115" s="127"/>
      <c r="AH115" s="130"/>
      <c r="AI115" s="130"/>
      <c r="AJ115" s="130"/>
    </row>
    <row r="116" spans="2:36" x14ac:dyDescent="0.25">
      <c r="B116" t="s">
        <v>114</v>
      </c>
      <c r="I116" s="127">
        <f>'Raw Input'!I67</f>
        <v>0</v>
      </c>
      <c r="J116" s="127"/>
      <c r="K116" s="127"/>
      <c r="L116" s="127"/>
      <c r="M116" s="127"/>
      <c r="N116" s="127">
        <f>'Raw Input'!N67</f>
        <v>-740</v>
      </c>
      <c r="O116" s="127"/>
      <c r="P116" s="127"/>
      <c r="Q116" s="127"/>
      <c r="R116" s="127"/>
      <c r="S116" s="127">
        <f>'Raw Input'!S67</f>
        <v>2313</v>
      </c>
      <c r="T116" s="127"/>
      <c r="U116" s="127"/>
      <c r="V116" s="127"/>
      <c r="W116" s="127"/>
      <c r="X116" s="127">
        <f>'Raw Input'!X67</f>
        <v>3430</v>
      </c>
      <c r="Y116" s="127"/>
      <c r="Z116" s="127"/>
      <c r="AA116" s="127"/>
      <c r="AB116" s="127"/>
      <c r="AC116" s="127">
        <f>'Raw Input'!AC67</f>
        <v>3884</v>
      </c>
      <c r="AD116" s="127"/>
      <c r="AE116" s="127"/>
      <c r="AF116" s="127"/>
      <c r="AG116" s="127"/>
      <c r="AH116" s="130"/>
      <c r="AI116" s="130"/>
      <c r="AJ116" s="130"/>
    </row>
    <row r="117" spans="2:36" x14ac:dyDescent="0.25"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  <c r="AB117" s="127"/>
      <c r="AC117" s="127"/>
      <c r="AD117" s="127"/>
      <c r="AE117" s="127"/>
      <c r="AF117" s="127"/>
      <c r="AG117" s="127"/>
      <c r="AH117" s="130"/>
      <c r="AI117" s="130"/>
      <c r="AJ117" s="130"/>
    </row>
    <row r="118" spans="2:36" x14ac:dyDescent="0.25">
      <c r="B118" s="1" t="s">
        <v>115</v>
      </c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  <c r="AB118" s="127"/>
      <c r="AC118" s="127"/>
      <c r="AD118" s="127"/>
      <c r="AE118" s="127"/>
      <c r="AF118" s="127"/>
      <c r="AG118" s="127"/>
      <c r="AH118" s="130"/>
      <c r="AI118" s="130"/>
      <c r="AJ118" s="130"/>
    </row>
    <row r="119" spans="2:36" x14ac:dyDescent="0.25">
      <c r="B119" s="375" t="s">
        <v>273</v>
      </c>
      <c r="I119" s="127">
        <f>'Raw Input'!I70</f>
        <v>-125.452</v>
      </c>
      <c r="J119" s="127"/>
      <c r="K119" s="127"/>
      <c r="L119" s="127"/>
      <c r="M119" s="127"/>
      <c r="N119" s="127">
        <f>'Raw Input'!N70</f>
        <v>-37.371000000000002</v>
      </c>
      <c r="O119" s="127"/>
      <c r="P119" s="127"/>
      <c r="Q119" s="127"/>
      <c r="R119" s="127"/>
      <c r="S119" s="127">
        <f>'Raw Input'!S70</f>
        <v>-25.321999999999999</v>
      </c>
      <c r="T119" s="127"/>
      <c r="U119" s="127"/>
      <c r="V119" s="127"/>
      <c r="W119" s="127"/>
      <c r="X119" s="127">
        <f>'Raw Input'!X70</f>
        <v>-25</v>
      </c>
      <c r="Y119" s="127"/>
      <c r="Z119" s="127"/>
      <c r="AA119" s="127"/>
      <c r="AB119" s="127"/>
      <c r="AC119" s="127">
        <f>'Raw Input'!AC70</f>
        <v>-47</v>
      </c>
      <c r="AD119" s="127"/>
      <c r="AE119" s="127"/>
      <c r="AF119" s="127"/>
      <c r="AG119" s="127"/>
      <c r="AH119" s="130"/>
      <c r="AI119" s="130"/>
      <c r="AJ119" s="130"/>
    </row>
    <row r="120" spans="2:36" x14ac:dyDescent="0.25">
      <c r="B120" t="s">
        <v>246</v>
      </c>
      <c r="I120" s="127"/>
      <c r="J120" s="127"/>
      <c r="K120" s="127"/>
      <c r="L120" s="127"/>
      <c r="M120" s="127"/>
      <c r="N120" s="127">
        <f>'Raw Input'!N71</f>
        <v>-3033</v>
      </c>
      <c r="O120" s="127"/>
      <c r="P120" s="127"/>
      <c r="Q120" s="127"/>
      <c r="R120" s="127"/>
      <c r="S120" s="127">
        <f>'Raw Input'!S71</f>
        <v>-4938</v>
      </c>
      <c r="T120" s="127"/>
      <c r="U120" s="127"/>
      <c r="V120" s="127"/>
      <c r="W120" s="127"/>
      <c r="X120" s="127">
        <f>'Raw Input'!X71</f>
        <v>-4072</v>
      </c>
      <c r="Y120" s="127"/>
      <c r="Z120" s="127"/>
      <c r="AA120" s="127"/>
      <c r="AB120" s="127"/>
      <c r="AC120" s="127">
        <f>'Raw Input'!AC71</f>
        <v>-3308</v>
      </c>
      <c r="AH120" s="130"/>
      <c r="AI120" s="130"/>
      <c r="AJ120" s="130"/>
    </row>
    <row r="121" spans="2:36" x14ac:dyDescent="0.25">
      <c r="B121" t="s">
        <v>247</v>
      </c>
      <c r="I121" s="127"/>
      <c r="J121" s="127"/>
      <c r="K121" s="127"/>
      <c r="L121" s="127"/>
      <c r="M121" s="127"/>
      <c r="N121" s="127">
        <f>'Raw Input'!N72</f>
        <v>3158</v>
      </c>
      <c r="O121" s="127"/>
      <c r="P121" s="127"/>
      <c r="Q121" s="127"/>
      <c r="R121" s="127"/>
      <c r="S121" s="127">
        <f>'Raw Input'!S72</f>
        <v>3611</v>
      </c>
      <c r="T121" s="127"/>
      <c r="U121" s="127"/>
      <c r="V121" s="127"/>
      <c r="W121" s="127"/>
      <c r="X121" s="127">
        <f>'Raw Input'!X72</f>
        <v>4071</v>
      </c>
      <c r="Y121" s="127"/>
      <c r="Z121" s="127"/>
      <c r="AA121" s="127"/>
      <c r="AB121" s="127"/>
      <c r="AC121" s="127">
        <f>'Raw Input'!AC72</f>
        <v>2380</v>
      </c>
      <c r="AH121" s="130"/>
      <c r="AI121" s="130"/>
      <c r="AJ121" s="130"/>
    </row>
    <row r="122" spans="2:36" x14ac:dyDescent="0.25">
      <c r="B122" t="s">
        <v>248</v>
      </c>
      <c r="I122" s="127"/>
      <c r="J122" s="127"/>
      <c r="K122" s="127"/>
      <c r="L122" s="127"/>
      <c r="M122" s="127"/>
      <c r="N122" s="127">
        <f>'Raw Input'!N73</f>
        <v>-8</v>
      </c>
      <c r="O122" s="127"/>
      <c r="P122" s="127"/>
      <c r="Q122" s="127"/>
      <c r="R122" s="127"/>
      <c r="S122" s="127">
        <f>'Raw Input'!S73</f>
        <v>0</v>
      </c>
      <c r="T122" s="127"/>
      <c r="U122" s="127"/>
      <c r="V122" s="127"/>
      <c r="W122" s="127"/>
      <c r="X122" s="127">
        <f>'Raw Input'!X73</f>
        <v>-2</v>
      </c>
      <c r="Y122" s="127"/>
      <c r="Z122" s="127"/>
      <c r="AA122" s="127"/>
      <c r="AB122" s="127"/>
      <c r="AC122" s="127">
        <f>'Raw Input'!AC73</f>
        <v>-114</v>
      </c>
      <c r="AH122" s="130"/>
      <c r="AI122" s="130"/>
      <c r="AJ122" s="130"/>
    </row>
    <row r="123" spans="2:36" x14ac:dyDescent="0.25">
      <c r="B123" t="s">
        <v>249</v>
      </c>
      <c r="I123" s="127"/>
      <c r="J123" s="127"/>
      <c r="K123" s="127"/>
      <c r="L123" s="127"/>
      <c r="M123" s="127"/>
      <c r="N123" s="127">
        <f>'Raw Input'!N74</f>
        <v>80</v>
      </c>
      <c r="O123" s="127"/>
      <c r="P123" s="127"/>
      <c r="Q123" s="127"/>
      <c r="R123" s="127"/>
      <c r="S123" s="127">
        <f>'Raw Input'!S74</f>
        <v>-1352</v>
      </c>
      <c r="T123" s="127"/>
      <c r="U123" s="127"/>
      <c r="V123" s="127"/>
      <c r="W123" s="127"/>
      <c r="X123" s="127">
        <f>'Raw Input'!X74</f>
        <v>-28</v>
      </c>
      <c r="Y123" s="127"/>
      <c r="Z123" s="127"/>
      <c r="AA123" s="127"/>
      <c r="AB123" s="127"/>
      <c r="AC123" s="127">
        <f>'Raw Input'!AC74</f>
        <v>-1042</v>
      </c>
      <c r="AH123" s="130"/>
      <c r="AI123" s="130"/>
      <c r="AJ123" s="130"/>
    </row>
    <row r="124" spans="2:36" x14ac:dyDescent="0.25">
      <c r="I124" s="163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  <c r="AA124" s="164"/>
      <c r="AB124" s="164"/>
      <c r="AC124" s="164"/>
      <c r="AH124" s="142"/>
      <c r="AI124" s="142"/>
      <c r="AJ124" s="142"/>
    </row>
    <row r="125" spans="2:36" x14ac:dyDescent="0.25">
      <c r="B125" s="1" t="s">
        <v>117</v>
      </c>
      <c r="AH125" s="130"/>
      <c r="AI125" s="130"/>
      <c r="AJ125" s="130"/>
    </row>
    <row r="126" spans="2:36" x14ac:dyDescent="0.25">
      <c r="B126" t="s">
        <v>274</v>
      </c>
      <c r="N126" s="159">
        <f>'Raw Input'!N77</f>
        <v>3651</v>
      </c>
      <c r="S126" s="159">
        <f>'Raw Input'!S77</f>
        <v>0</v>
      </c>
      <c r="X126" s="159">
        <f>'Raw Input'!X77</f>
        <v>0</v>
      </c>
      <c r="AC126" s="159">
        <f>'Raw Input'!AC77</f>
        <v>0</v>
      </c>
      <c r="AH126" s="130"/>
      <c r="AI126" s="130"/>
      <c r="AJ126" s="130"/>
    </row>
    <row r="127" spans="2:36" x14ac:dyDescent="0.25">
      <c r="B127" t="s">
        <v>250</v>
      </c>
      <c r="I127" s="164"/>
      <c r="J127" s="164"/>
      <c r="K127" s="164"/>
      <c r="L127" s="164"/>
      <c r="M127" s="164"/>
      <c r="N127" s="159">
        <f>'Raw Input'!N78</f>
        <v>-1527</v>
      </c>
      <c r="S127" s="159">
        <f>'Raw Input'!S78</f>
        <v>-177</v>
      </c>
      <c r="X127" s="159">
        <f>'Raw Input'!X78</f>
        <v>-607</v>
      </c>
      <c r="AC127" s="159">
        <f>'Raw Input'!AC78</f>
        <v>-1224</v>
      </c>
      <c r="AH127" s="130"/>
      <c r="AI127" s="130"/>
      <c r="AJ127" s="130"/>
    </row>
    <row r="128" spans="2:36" x14ac:dyDescent="0.25">
      <c r="B128" t="s">
        <v>251</v>
      </c>
      <c r="I128" s="165"/>
      <c r="J128" s="165"/>
      <c r="K128" s="165"/>
      <c r="L128" s="165"/>
      <c r="M128" s="165"/>
      <c r="N128" s="159">
        <f>'Raw Input'!N79</f>
        <v>-5</v>
      </c>
      <c r="S128" s="159">
        <f>'Raw Input'!S79</f>
        <v>-1995</v>
      </c>
      <c r="X128" s="159" t="str">
        <f>'Raw Input'!X79</f>
        <v>-</v>
      </c>
      <c r="AC128" s="159" t="str">
        <f>'Raw Input'!AC79</f>
        <v>-</v>
      </c>
      <c r="AH128" s="166"/>
      <c r="AI128" s="166"/>
      <c r="AJ128" s="166"/>
    </row>
    <row r="129" spans="2:36" x14ac:dyDescent="0.25">
      <c r="B129" t="s">
        <v>252</v>
      </c>
      <c r="I129" s="163"/>
      <c r="N129" s="159">
        <f>'Raw Input'!N80</f>
        <v>0</v>
      </c>
      <c r="S129" s="159">
        <f>'Raw Input'!S80</f>
        <v>-213</v>
      </c>
      <c r="X129" s="159" t="str">
        <f>'Raw Input'!X80</f>
        <v>-</v>
      </c>
      <c r="AC129" s="159" t="str">
        <f>'Raw Input'!AC80</f>
        <v>-</v>
      </c>
      <c r="AH129" s="142"/>
      <c r="AI129" s="142"/>
      <c r="AJ129" s="142"/>
    </row>
    <row r="130" spans="2:36" x14ac:dyDescent="0.25">
      <c r="B130" t="s">
        <v>275</v>
      </c>
      <c r="N130" s="159">
        <f>'Raw Input'!N81</f>
        <v>1929</v>
      </c>
      <c r="S130" s="159">
        <f>'Raw Input'!S81</f>
        <v>0</v>
      </c>
      <c r="X130" s="159">
        <f>'Raw Input'!X81</f>
        <v>0</v>
      </c>
      <c r="AC130" s="159">
        <f>'Raw Input'!AC81</f>
        <v>0</v>
      </c>
    </row>
    <row r="131" spans="2:36" x14ac:dyDescent="0.25">
      <c r="B131" t="s">
        <v>253</v>
      </c>
      <c r="N131" s="159">
        <f>'Raw Input'!N82</f>
        <v>0</v>
      </c>
      <c r="S131" s="159">
        <f>'Raw Input'!S82</f>
        <v>1979</v>
      </c>
      <c r="X131" s="159" t="str">
        <f>'Raw Input'!X82</f>
        <v>-</v>
      </c>
      <c r="AC131" s="159" t="str">
        <f>'Raw Input'!AC82</f>
        <v>-</v>
      </c>
    </row>
    <row r="132" spans="2:36" x14ac:dyDescent="0.25">
      <c r="B132" t="s">
        <v>254</v>
      </c>
      <c r="N132" s="159">
        <f>'Raw Input'!N83</f>
        <v>0</v>
      </c>
      <c r="S132" s="159">
        <f>'Raw Input'!S83</f>
        <v>-100</v>
      </c>
      <c r="X132" s="159" t="str">
        <f>'Raw Input'!X83</f>
        <v>-</v>
      </c>
      <c r="AC132" s="159" t="str">
        <f>'Raw Input'!AC83</f>
        <v>-</v>
      </c>
    </row>
    <row r="133" spans="2:36" x14ac:dyDescent="0.25">
      <c r="B133" t="s">
        <v>255</v>
      </c>
      <c r="N133" s="159">
        <f>'Raw Input'!N84</f>
        <v>0</v>
      </c>
      <c r="S133" s="159">
        <f>'Raw Input'!S84</f>
        <v>189</v>
      </c>
      <c r="X133" s="159">
        <f>'Raw Input'!X84</f>
        <v>88</v>
      </c>
      <c r="AC133" s="159">
        <f>'Raw Input'!AC84</f>
        <v>110</v>
      </c>
    </row>
    <row r="134" spans="2:36" x14ac:dyDescent="0.25">
      <c r="B134" t="s">
        <v>256</v>
      </c>
      <c r="N134" s="159">
        <f>'Raw Input'!N85</f>
        <v>0</v>
      </c>
      <c r="S134" s="159" t="str">
        <f>'Raw Input'!S85</f>
        <v>-</v>
      </c>
      <c r="X134" s="159">
        <f>'Raw Input'!X85</f>
        <v>-1500</v>
      </c>
      <c r="AC134" s="159">
        <f>'Raw Input'!AC85</f>
        <v>-2252</v>
      </c>
    </row>
    <row r="135" spans="2:36" x14ac:dyDescent="0.25">
      <c r="B135" t="s">
        <v>257</v>
      </c>
      <c r="N135" s="159">
        <f>'Raw Input'!N86</f>
        <v>-1024</v>
      </c>
      <c r="S135" s="159">
        <f>'Raw Input'!S86</f>
        <v>1625</v>
      </c>
      <c r="X135" s="159">
        <f>'Raw Input'!X86</f>
        <v>1330</v>
      </c>
      <c r="AC135" s="159">
        <f>'Raw Input'!AC86</f>
        <v>936</v>
      </c>
    </row>
    <row r="136" spans="2:36" x14ac:dyDescent="0.25">
      <c r="B136" t="s">
        <v>276</v>
      </c>
      <c r="N136" s="159">
        <f>'Raw Input'!N87</f>
        <v>12</v>
      </c>
      <c r="S136" s="159">
        <f>'Raw Input'!S87</f>
        <v>0</v>
      </c>
      <c r="X136" s="159">
        <f>'Raw Input'!X87</f>
        <v>0</v>
      </c>
      <c r="AC136" s="159">
        <f>'Raw Input'!AC87</f>
        <v>0</v>
      </c>
    </row>
    <row r="137" spans="2:36" x14ac:dyDescent="0.25">
      <c r="B137" t="s">
        <v>258</v>
      </c>
      <c r="N137" s="159">
        <f>'Raw Input'!N88</f>
        <v>3051</v>
      </c>
      <c r="S137" s="159">
        <f>'Raw Input'!S88</f>
        <v>1308</v>
      </c>
      <c r="X137" s="159">
        <f>'Raw Input'!X88</f>
        <v>-689</v>
      </c>
      <c r="AC137" s="159">
        <f>'Raw Input'!AC88</f>
        <v>-2430</v>
      </c>
    </row>
    <row r="138" spans="2:36" x14ac:dyDescent="0.25">
      <c r="B138" t="s">
        <v>259</v>
      </c>
      <c r="N138" s="159">
        <f>'Raw Input'!N89</f>
        <v>134</v>
      </c>
      <c r="S138" s="159">
        <f>'Raw Input'!S89</f>
        <v>-210</v>
      </c>
      <c r="X138" s="159">
        <f>'Raw Input'!X89</f>
        <v>-337</v>
      </c>
      <c r="AC138" s="159">
        <f>'Raw Input'!AC89</f>
        <v>152</v>
      </c>
    </row>
    <row r="139" spans="2:36" x14ac:dyDescent="0.25">
      <c r="B139" t="s">
        <v>260</v>
      </c>
      <c r="N139" s="159">
        <f>'Raw Input'!N90</f>
        <v>2525</v>
      </c>
      <c r="S139" s="159">
        <f>'Raw Input'!S90</f>
        <v>2059</v>
      </c>
      <c r="X139" s="159">
        <f>'Raw Input'!X90</f>
        <v>2376</v>
      </c>
      <c r="AC139" s="159">
        <f>'Raw Input'!AC90</f>
        <v>564</v>
      </c>
    </row>
    <row r="140" spans="2:36" x14ac:dyDescent="0.25">
      <c r="B140" t="s">
        <v>261</v>
      </c>
      <c r="N140" s="159">
        <f>'Raw Input'!N91</f>
        <v>5143</v>
      </c>
      <c r="S140" s="159">
        <f>'Raw Input'!S91</f>
        <v>7668</v>
      </c>
      <c r="X140" s="159">
        <f>'Raw Input'!X91</f>
        <v>9727</v>
      </c>
      <c r="AC140" s="159">
        <f>'Raw Input'!AC91</f>
        <v>12103</v>
      </c>
    </row>
    <row r="141" spans="2:36" s="1" customFormat="1" x14ac:dyDescent="0.25">
      <c r="B141" s="1" t="s">
        <v>262</v>
      </c>
      <c r="I141" s="369"/>
      <c r="J141" s="369"/>
      <c r="K141" s="369"/>
      <c r="L141" s="369"/>
      <c r="M141" s="369"/>
      <c r="N141" s="369">
        <f>'Raw Input'!N92</f>
        <v>7668</v>
      </c>
      <c r="O141" s="369"/>
      <c r="P141" s="369"/>
      <c r="Q141" s="369"/>
      <c r="R141" s="369"/>
      <c r="S141" s="369">
        <f>'Raw Input'!S92</f>
        <v>9727</v>
      </c>
      <c r="T141" s="369"/>
      <c r="U141" s="369"/>
      <c r="V141" s="369"/>
      <c r="W141" s="369"/>
      <c r="X141" s="369">
        <f>'Raw Input'!X92</f>
        <v>12103</v>
      </c>
      <c r="Y141" s="369"/>
      <c r="Z141" s="369"/>
      <c r="AA141" s="369"/>
      <c r="AB141" s="369"/>
      <c r="AC141" s="369">
        <f>'Raw Input'!AC92</f>
        <v>12667</v>
      </c>
      <c r="AD141" s="369"/>
      <c r="AE141" s="369"/>
      <c r="AF141" s="369"/>
      <c r="AG141" s="369"/>
      <c r="AH141" s="369"/>
      <c r="AI141" s="369"/>
      <c r="AJ141" s="369"/>
    </row>
    <row r="143" spans="2:36" x14ac:dyDescent="0.25">
      <c r="B143" s="160" t="s">
        <v>130</v>
      </c>
      <c r="I143" s="377">
        <f>I110-(I112+I113+I115)</f>
        <v>-251.96999999999997</v>
      </c>
      <c r="N143" s="377">
        <f>N110-(N112+N113+N115)</f>
        <v>415.12</v>
      </c>
      <c r="S143" s="377">
        <f>S110-(S112+S113+S115)</f>
        <v>-877.76199999999994</v>
      </c>
      <c r="X143" s="377">
        <f>X110-(X112+X113+X115)</f>
        <v>-799</v>
      </c>
      <c r="AC143" s="377">
        <f>AC110-(AC112+AC113+AC115)</f>
        <v>-924</v>
      </c>
    </row>
    <row r="144" spans="2:36" x14ac:dyDescent="0.25">
      <c r="B144" s="162" t="s">
        <v>131</v>
      </c>
      <c r="N144" s="378">
        <f>-N143/(N14-I14)</f>
        <v>0.29089584034084548</v>
      </c>
      <c r="S144" s="378">
        <f>-S143/(S14-N14)</f>
        <v>0.33584905804762155</v>
      </c>
      <c r="X144" s="378">
        <f>-X143/(X14-S14)</f>
        <v>0.33191538857779035</v>
      </c>
      <c r="AC144" s="378">
        <f>-AC143/(AC14-X14)</f>
        <v>0.60869565217391308</v>
      </c>
    </row>
    <row r="146" spans="2:29" x14ac:dyDescent="0.25">
      <c r="B146" s="161" t="s">
        <v>132</v>
      </c>
      <c r="I146" s="377">
        <f>I119</f>
        <v>-125.452</v>
      </c>
      <c r="N146" s="377">
        <f>N119</f>
        <v>-37.371000000000002</v>
      </c>
      <c r="S146" s="377">
        <f>S119</f>
        <v>-25.321999999999999</v>
      </c>
      <c r="X146" s="377">
        <f>X119</f>
        <v>-25</v>
      </c>
      <c r="AC146" s="377">
        <f>AC119</f>
        <v>-47</v>
      </c>
    </row>
    <row r="147" spans="2:29" x14ac:dyDescent="0.25">
      <c r="B147" s="162" t="s">
        <v>120</v>
      </c>
      <c r="I147" s="164">
        <f>-I146/I14</f>
        <v>2.6107338261426749E-2</v>
      </c>
      <c r="N147" s="164">
        <f>-N146/N14</f>
        <v>1.1062403369369301E-2</v>
      </c>
      <c r="S147" s="164">
        <f>-S146/S14</f>
        <v>4.2261372284604186E-3</v>
      </c>
      <c r="X147" s="164">
        <f>-X146/X14</f>
        <v>2.9765448267650911E-3</v>
      </c>
      <c r="AC147" s="164">
        <f>-AC146/AC14</f>
        <v>4.7393364928909956E-3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930C-7B42-485F-B1C5-A57CA467D574}">
  <sheetPr>
    <tabColor theme="5"/>
  </sheetPr>
  <dimension ref="A1:AB80"/>
  <sheetViews>
    <sheetView showGridLines="0" zoomScaleNormal="100" workbookViewId="0">
      <selection activeCell="V39" sqref="V39"/>
    </sheetView>
  </sheetViews>
  <sheetFormatPr defaultColWidth="8.85546875" defaultRowHeight="15" outlineLevelRow="1" x14ac:dyDescent="0.25"/>
  <cols>
    <col min="1" max="1" width="3.42578125" style="167" customWidth="1"/>
    <col min="2" max="3" width="8.7109375" customWidth="1"/>
    <col min="4" max="4" width="10.42578125" bestFit="1" customWidth="1"/>
    <col min="5" max="5" width="12.7109375" bestFit="1" customWidth="1"/>
    <col min="6" max="8" width="8.85546875" bestFit="1" customWidth="1"/>
    <col min="9" max="10" width="8.85546875" customWidth="1"/>
    <col min="11" max="12" width="8.85546875" bestFit="1" customWidth="1"/>
    <col min="13" max="14" width="8.85546875" customWidth="1"/>
    <col min="15" max="16" width="8.85546875" bestFit="1" customWidth="1"/>
    <col min="17" max="17" width="8.85546875" customWidth="1"/>
    <col min="18" max="18" width="9.42578125" customWidth="1"/>
    <col min="19" max="19" width="9.85546875" customWidth="1"/>
    <col min="20" max="20" width="6.28515625" customWidth="1"/>
  </cols>
  <sheetData>
    <row r="1" spans="1:28" x14ac:dyDescent="0.25">
      <c r="C1" t="s">
        <v>133</v>
      </c>
    </row>
    <row r="2" spans="1:28" s="14" customFormat="1" ht="21" x14ac:dyDescent="0.35">
      <c r="A2" s="168"/>
      <c r="B2" s="169" t="s">
        <v>279</v>
      </c>
      <c r="C2" s="169"/>
      <c r="E2" s="170" t="s">
        <v>134</v>
      </c>
    </row>
    <row r="3" spans="1:28" x14ac:dyDescent="0.25">
      <c r="B3" s="171"/>
    </row>
    <row r="4" spans="1:28" x14ac:dyDescent="0.25">
      <c r="B4" t="s">
        <v>26</v>
      </c>
      <c r="D4" s="172" t="s">
        <v>280</v>
      </c>
      <c r="F4" s="1" t="s">
        <v>135</v>
      </c>
      <c r="I4" s="173">
        <f>N80</f>
        <v>103.65667839487554</v>
      </c>
    </row>
    <row r="5" spans="1:28" x14ac:dyDescent="0.25">
      <c r="B5" t="s">
        <v>11</v>
      </c>
      <c r="D5" s="174">
        <v>45497</v>
      </c>
      <c r="F5" s="1" t="s">
        <v>136</v>
      </c>
      <c r="I5" s="173">
        <v>140.03</v>
      </c>
    </row>
    <row r="6" spans="1:28" x14ac:dyDescent="0.25">
      <c r="B6" t="s">
        <v>137</v>
      </c>
      <c r="D6" s="174">
        <v>45657</v>
      </c>
      <c r="F6" s="1" t="s">
        <v>138</v>
      </c>
      <c r="I6" s="175">
        <f>I4/I5-1</f>
        <v>-0.25975377851263626</v>
      </c>
    </row>
    <row r="7" spans="1:28" x14ac:dyDescent="0.25">
      <c r="T7" s="395" t="s">
        <v>139</v>
      </c>
      <c r="U7" s="396" t="s">
        <v>140</v>
      </c>
      <c r="V7" s="396"/>
      <c r="W7" s="396"/>
      <c r="X7" s="396"/>
      <c r="Y7" s="396"/>
      <c r="Z7" s="396"/>
      <c r="AA7" s="396"/>
    </row>
    <row r="8" spans="1:28" x14ac:dyDescent="0.25">
      <c r="A8" s="167" t="s">
        <v>141</v>
      </c>
      <c r="B8" s="176" t="s">
        <v>142</v>
      </c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7"/>
      <c r="S8" s="177"/>
      <c r="T8" s="395"/>
      <c r="U8" s="178">
        <f>I4</f>
        <v>103.65667839487554</v>
      </c>
      <c r="V8" s="179">
        <v>9.5000000000000001E-2</v>
      </c>
      <c r="W8" s="179">
        <f>V8+0.5%</f>
        <v>0.1</v>
      </c>
      <c r="X8" s="179">
        <f t="shared" ref="X8:AA8" si="0">W8+0.5%</f>
        <v>0.10500000000000001</v>
      </c>
      <c r="Y8" s="179">
        <f>X8+0.5%</f>
        <v>0.11000000000000001</v>
      </c>
      <c r="Z8" s="179">
        <f t="shared" si="0"/>
        <v>0.11500000000000002</v>
      </c>
      <c r="AA8" s="179">
        <f t="shared" si="0"/>
        <v>0.12000000000000002</v>
      </c>
      <c r="AB8" s="180"/>
    </row>
    <row r="9" spans="1:28" x14ac:dyDescent="0.25">
      <c r="B9" s="181" t="s">
        <v>143</v>
      </c>
      <c r="C9" s="181"/>
      <c r="G9" s="181" t="s">
        <v>144</v>
      </c>
      <c r="K9" s="181" t="s">
        <v>145</v>
      </c>
      <c r="O9" s="181" t="s">
        <v>146</v>
      </c>
      <c r="T9" s="395"/>
      <c r="U9" s="179">
        <v>0.01</v>
      </c>
      <c r="V9" s="182">
        <f t="dataTable" ref="V9:AA15" dt2D="1" dtr="1" r1="E15" r2="E16"/>
        <v>105.48142421613889</v>
      </c>
      <c r="W9" s="182">
        <v>103.93195501135754</v>
      </c>
      <c r="X9" s="182">
        <v>102.41639819921032</v>
      </c>
      <c r="Y9" s="182">
        <v>100.93385901564373</v>
      </c>
      <c r="Z9" s="182">
        <v>99.483470232264764</v>
      </c>
      <c r="AA9" s="182">
        <v>98.064391189796638</v>
      </c>
    </row>
    <row r="10" spans="1:28" x14ac:dyDescent="0.25">
      <c r="B10" t="s">
        <v>9</v>
      </c>
      <c r="E10" s="172">
        <v>2</v>
      </c>
      <c r="G10" t="s">
        <v>147</v>
      </c>
      <c r="H10" s="183">
        <v>24</v>
      </c>
      <c r="I10" s="184"/>
      <c r="K10" t="s">
        <v>9</v>
      </c>
      <c r="L10" s="183">
        <v>24</v>
      </c>
      <c r="M10" s="184"/>
      <c r="O10" t="s">
        <v>9</v>
      </c>
      <c r="P10" s="183">
        <v>24</v>
      </c>
      <c r="Q10" s="184"/>
      <c r="T10" s="395"/>
      <c r="U10" s="179">
        <f>U9+0.5%</f>
        <v>1.4999999999999999E-2</v>
      </c>
      <c r="V10" s="182">
        <v>105.48142421613889</v>
      </c>
      <c r="W10" s="182">
        <v>103.93195501135754</v>
      </c>
      <c r="X10" s="182">
        <v>102.41639819921032</v>
      </c>
      <c r="Y10" s="182">
        <v>100.93385901564373</v>
      </c>
      <c r="Z10" s="182">
        <v>99.483470232264764</v>
      </c>
      <c r="AA10" s="182">
        <v>98.064391189796638</v>
      </c>
    </row>
    <row r="11" spans="1:28" x14ac:dyDescent="0.25">
      <c r="B11" t="s">
        <v>148</v>
      </c>
      <c r="E11" s="172">
        <v>2</v>
      </c>
      <c r="G11" t="s">
        <v>9</v>
      </c>
      <c r="H11" s="183">
        <v>28</v>
      </c>
      <c r="I11" s="184"/>
      <c r="K11" t="s">
        <v>9</v>
      </c>
      <c r="L11" s="183">
        <v>28</v>
      </c>
      <c r="M11" s="184"/>
      <c r="O11" t="s">
        <v>149</v>
      </c>
      <c r="P11" s="183">
        <v>28</v>
      </c>
      <c r="Q11" s="184"/>
      <c r="T11" s="395"/>
      <c r="U11" s="179">
        <f t="shared" ref="U11:U15" si="1">U10+0.5%</f>
        <v>0.02</v>
      </c>
      <c r="V11" s="182">
        <v>105.48142421613889</v>
      </c>
      <c r="W11" s="182">
        <v>103.93195501135754</v>
      </c>
      <c r="X11" s="182">
        <v>102.41639819921032</v>
      </c>
      <c r="Y11" s="182">
        <v>100.93385901564373</v>
      </c>
      <c r="Z11" s="182">
        <v>99.483470232264764</v>
      </c>
      <c r="AA11" s="182">
        <v>98.064391189796638</v>
      </c>
    </row>
    <row r="12" spans="1:28" x14ac:dyDescent="0.25">
      <c r="B12" t="s">
        <v>140</v>
      </c>
      <c r="E12" s="172">
        <v>2</v>
      </c>
      <c r="G12" t="s">
        <v>148</v>
      </c>
      <c r="H12" s="183">
        <v>24</v>
      </c>
      <c r="I12" s="184"/>
      <c r="K12" t="s">
        <v>148</v>
      </c>
      <c r="L12" s="183">
        <v>24</v>
      </c>
      <c r="M12" s="184"/>
      <c r="O12" t="s">
        <v>148</v>
      </c>
      <c r="P12" s="183">
        <v>24</v>
      </c>
      <c r="Q12" s="184"/>
      <c r="T12" s="395"/>
      <c r="U12" s="179">
        <f t="shared" si="1"/>
        <v>2.5000000000000001E-2</v>
      </c>
      <c r="V12" s="182">
        <v>105.48142421613889</v>
      </c>
      <c r="W12" s="182">
        <v>103.93195501135754</v>
      </c>
      <c r="X12" s="182">
        <v>102.41639819921032</v>
      </c>
      <c r="Y12" s="182">
        <v>100.93385901564373</v>
      </c>
      <c r="Z12" s="182">
        <v>99.483470232264764</v>
      </c>
      <c r="AA12" s="182">
        <v>98.064391189796638</v>
      </c>
    </row>
    <row r="13" spans="1:28" x14ac:dyDescent="0.25">
      <c r="B13" t="s">
        <v>150</v>
      </c>
      <c r="E13" s="172">
        <v>2</v>
      </c>
      <c r="G13" t="s">
        <v>148</v>
      </c>
      <c r="H13" s="183">
        <v>29</v>
      </c>
      <c r="I13" s="184"/>
      <c r="K13" t="s">
        <v>148</v>
      </c>
      <c r="L13" s="183">
        <v>29</v>
      </c>
      <c r="M13" s="184"/>
      <c r="O13" t="s">
        <v>148</v>
      </c>
      <c r="P13" s="183">
        <v>29</v>
      </c>
      <c r="Q13" s="184"/>
      <c r="T13" s="395"/>
      <c r="U13" s="179">
        <f t="shared" si="1"/>
        <v>3.0000000000000002E-2</v>
      </c>
      <c r="V13" s="182">
        <v>105.48142421613889</v>
      </c>
      <c r="W13" s="182">
        <v>103.93195501135754</v>
      </c>
      <c r="X13" s="182">
        <v>102.41639819921032</v>
      </c>
      <c r="Y13" s="182">
        <v>100.93385901564373</v>
      </c>
      <c r="Z13" s="182">
        <v>99.483470232264764</v>
      </c>
      <c r="AA13" s="182">
        <v>98.064391189796638</v>
      </c>
    </row>
    <row r="14" spans="1:28" x14ac:dyDescent="0.25">
      <c r="K14" t="s">
        <v>151</v>
      </c>
      <c r="M14" s="184"/>
      <c r="T14" s="395"/>
      <c r="U14" s="179">
        <f t="shared" si="1"/>
        <v>3.5000000000000003E-2</v>
      </c>
      <c r="V14" s="182">
        <v>105.48142421613889</v>
      </c>
      <c r="W14" s="182">
        <v>103.93195501135754</v>
      </c>
      <c r="X14" s="182">
        <v>102.41639819921032</v>
      </c>
      <c r="Y14" s="182">
        <v>100.93385901564373</v>
      </c>
      <c r="Z14" s="182">
        <v>99.483470232264764</v>
      </c>
      <c r="AA14" s="182">
        <v>98.064391189796638</v>
      </c>
    </row>
    <row r="15" spans="1:28" x14ac:dyDescent="0.25">
      <c r="B15" t="s">
        <v>140</v>
      </c>
      <c r="E15" s="185">
        <f>CHOOSE(E12,I15,M15,Q15)</f>
        <v>0.1009</v>
      </c>
      <c r="G15" t="s">
        <v>140</v>
      </c>
      <c r="I15" s="184">
        <v>0.09</v>
      </c>
      <c r="K15" t="s">
        <v>140</v>
      </c>
      <c r="M15" s="186">
        <v>0.1009</v>
      </c>
      <c r="O15" t="s">
        <v>140</v>
      </c>
      <c r="Q15" s="184">
        <v>0.08</v>
      </c>
      <c r="T15" s="395"/>
      <c r="U15" s="179">
        <f t="shared" si="1"/>
        <v>0.04</v>
      </c>
      <c r="V15" s="182">
        <v>105.48142421613889</v>
      </c>
      <c r="W15" s="182">
        <v>103.93195501135754</v>
      </c>
      <c r="X15" s="182">
        <v>102.41639819921032</v>
      </c>
      <c r="Y15" s="182">
        <v>100.93385901564373</v>
      </c>
      <c r="Z15" s="182">
        <v>99.483470232264764</v>
      </c>
      <c r="AA15" s="182">
        <v>98.064391189796638</v>
      </c>
    </row>
    <row r="16" spans="1:28" x14ac:dyDescent="0.25">
      <c r="B16" t="s">
        <v>150</v>
      </c>
      <c r="E16" s="185">
        <f>CHOOSE(E13,I16,M16,Q16)</f>
        <v>2.5000000000000001E-2</v>
      </c>
      <c r="G16" t="s">
        <v>150</v>
      </c>
      <c r="I16" s="186">
        <f>M16-0.5%</f>
        <v>0.02</v>
      </c>
      <c r="K16" t="s">
        <v>150</v>
      </c>
      <c r="M16" s="184">
        <v>2.5000000000000001E-2</v>
      </c>
      <c r="O16" t="s">
        <v>150</v>
      </c>
      <c r="Q16" s="186">
        <f>M16+0.5%</f>
        <v>3.0000000000000002E-2</v>
      </c>
      <c r="U16" s="180"/>
      <c r="V16" s="180"/>
      <c r="W16" s="180"/>
      <c r="X16" s="180"/>
      <c r="Y16" s="180"/>
      <c r="Z16" s="180"/>
      <c r="AA16" s="180"/>
    </row>
    <row r="18" spans="1:16" outlineLevel="1" x14ac:dyDescent="0.25">
      <c r="A18" s="167" t="s">
        <v>141</v>
      </c>
      <c r="B18" s="176" t="s">
        <v>152</v>
      </c>
      <c r="C18" s="176"/>
      <c r="D18" s="176"/>
      <c r="E18" s="176">
        <v>2019</v>
      </c>
      <c r="F18" s="176">
        <f t="shared" ref="F18:N18" si="2">E18+1</f>
        <v>2020</v>
      </c>
      <c r="G18" s="176">
        <f t="shared" si="2"/>
        <v>2021</v>
      </c>
      <c r="H18" s="176">
        <f t="shared" si="2"/>
        <v>2022</v>
      </c>
      <c r="I18" s="176">
        <f t="shared" si="2"/>
        <v>2023</v>
      </c>
      <c r="J18" s="187">
        <f t="shared" si="2"/>
        <v>2024</v>
      </c>
      <c r="K18" s="187">
        <f t="shared" si="2"/>
        <v>2025</v>
      </c>
      <c r="L18" s="187">
        <f t="shared" si="2"/>
        <v>2026</v>
      </c>
      <c r="M18" s="187">
        <f t="shared" si="2"/>
        <v>2027</v>
      </c>
      <c r="N18" s="187">
        <f t="shared" si="2"/>
        <v>2028</v>
      </c>
    </row>
    <row r="19" spans="1:16" outlineLevel="1" x14ac:dyDescent="0.25">
      <c r="B19" t="s">
        <v>9</v>
      </c>
      <c r="E19" s="188">
        <f>MOD!I14</f>
        <v>4805.2389999999996</v>
      </c>
      <c r="F19" s="188">
        <f>MOD!N14</f>
        <v>3378.1990000000001</v>
      </c>
      <c r="G19" s="188">
        <f>MOD!S14</f>
        <v>5991.76</v>
      </c>
      <c r="H19" s="188">
        <f>MOD!X14</f>
        <v>8399</v>
      </c>
      <c r="I19" s="188">
        <f>MOD!AC14</f>
        <v>9917</v>
      </c>
      <c r="J19" s="189">
        <f>MOD!AH14</f>
        <v>11157.699999999999</v>
      </c>
      <c r="K19" s="189">
        <f>MOD!AI14</f>
        <v>12608.200999999997</v>
      </c>
      <c r="L19" s="189">
        <f>MOD!AJ14</f>
        <v>14247.267129999995</v>
      </c>
      <c r="M19" s="189">
        <f>L19*(1+M20)</f>
        <v>15956.939185599993</v>
      </c>
      <c r="N19" s="189">
        <f>M19*(1+N20)</f>
        <v>17712.202496015991</v>
      </c>
      <c r="O19" s="188"/>
    </row>
    <row r="20" spans="1:16" outlineLevel="1" x14ac:dyDescent="0.25">
      <c r="B20" s="162" t="s">
        <v>153</v>
      </c>
      <c r="C20" s="162"/>
      <c r="D20" s="162"/>
      <c r="E20" s="190" t="s">
        <v>53</v>
      </c>
      <c r="F20" s="191">
        <f>F19/E19-1</f>
        <v>-0.29697586321929037</v>
      </c>
      <c r="G20" s="191">
        <f t="shared" ref="G20:L20" si="3">G19/F19-1</f>
        <v>0.77365513399299446</v>
      </c>
      <c r="H20" s="191">
        <f t="shared" si="3"/>
        <v>0.40175841488978192</v>
      </c>
      <c r="I20" s="191">
        <f t="shared" si="3"/>
        <v>0.18073580188117644</v>
      </c>
      <c r="J20" s="191">
        <f>J19/I19-1</f>
        <v>0.12510839971765653</v>
      </c>
      <c r="K20" s="191">
        <f>K19/J19-1</f>
        <v>0.12999999999999989</v>
      </c>
      <c r="L20" s="191">
        <f t="shared" si="3"/>
        <v>0.12999999999999989</v>
      </c>
      <c r="M20" s="192">
        <f>L20-1%</f>
        <v>0.1199999999999999</v>
      </c>
      <c r="N20" s="192">
        <f>M20-1%</f>
        <v>0.1099999999999999</v>
      </c>
    </row>
    <row r="21" spans="1:16" outlineLevel="1" x14ac:dyDescent="0.25"/>
    <row r="22" spans="1:16" outlineLevel="1" x14ac:dyDescent="0.25">
      <c r="B22" t="s">
        <v>148</v>
      </c>
      <c r="E22" s="188">
        <f>MOD!I46</f>
        <v>-501.54300000000001</v>
      </c>
      <c r="F22" s="188">
        <f>MOD!N46</f>
        <v>-3590.1469999999999</v>
      </c>
      <c r="G22" s="188">
        <f>MOD!S46</f>
        <v>429.31700000000001</v>
      </c>
      <c r="H22" s="188">
        <f>MOD!X46</f>
        <v>1802</v>
      </c>
      <c r="I22" s="188">
        <f>MOD!AC46</f>
        <v>1518</v>
      </c>
      <c r="J22" s="189">
        <f>MOD!AH46</f>
        <v>2703.1427000000003</v>
      </c>
      <c r="K22" s="189">
        <f>MOD!AI46</f>
        <v>3278.1322599999994</v>
      </c>
      <c r="L22" s="189">
        <f>MOD!AJ46</f>
        <v>3846.7621250999987</v>
      </c>
      <c r="M22" s="189">
        <f>M23*M19</f>
        <v>4467.9429719679983</v>
      </c>
      <c r="N22" s="189">
        <f>N23*N19</f>
        <v>5136.5387238446383</v>
      </c>
      <c r="O22" s="188"/>
    </row>
    <row r="23" spans="1:16" outlineLevel="1" x14ac:dyDescent="0.25">
      <c r="B23" s="162" t="s">
        <v>154</v>
      </c>
      <c r="C23" s="162"/>
      <c r="D23" s="162"/>
      <c r="E23" s="193">
        <f>E22/E19</f>
        <v>-0.1043742049042722</v>
      </c>
      <c r="F23" s="193">
        <f t="shared" ref="F23:L23" si="4">F22/F19</f>
        <v>-1.0627399392398138</v>
      </c>
      <c r="G23" s="193">
        <f t="shared" si="4"/>
        <v>7.1651234361856955E-2</v>
      </c>
      <c r="H23" s="193">
        <f t="shared" si="4"/>
        <v>0.21454935111322776</v>
      </c>
      <c r="I23" s="193">
        <f t="shared" si="4"/>
        <v>0.15307048502571341</v>
      </c>
      <c r="J23" s="193">
        <f t="shared" si="4"/>
        <v>0.24226701739605838</v>
      </c>
      <c r="K23" s="193">
        <f>K22/K19</f>
        <v>0.26</v>
      </c>
      <c r="L23" s="193">
        <f t="shared" si="4"/>
        <v>0.27</v>
      </c>
      <c r="M23" s="193">
        <f>L23+1%</f>
        <v>0.28000000000000003</v>
      </c>
      <c r="N23" s="193">
        <f>M23+1%</f>
        <v>0.29000000000000004</v>
      </c>
      <c r="O23" s="194"/>
      <c r="P23" s="194"/>
    </row>
    <row r="24" spans="1:16" outlineLevel="1" x14ac:dyDescent="0.25">
      <c r="B24" s="162"/>
      <c r="C24" s="162"/>
      <c r="D24" s="16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4"/>
      <c r="P24" s="194"/>
    </row>
    <row r="25" spans="1:16" outlineLevel="1" x14ac:dyDescent="0.25">
      <c r="B25" t="s">
        <v>18</v>
      </c>
      <c r="E25" s="188">
        <f>MOD!I72</f>
        <v>-387.38099999999997</v>
      </c>
      <c r="F25" s="188">
        <f>MOD!N72</f>
        <v>-3464.2709999999997</v>
      </c>
      <c r="G25" s="188">
        <f>MOD!S72</f>
        <v>567.63599999999997</v>
      </c>
      <c r="H25" s="188">
        <f>MOD!X72</f>
        <v>1883</v>
      </c>
      <c r="I25" s="188">
        <f>MOD!AC72</f>
        <v>1562</v>
      </c>
      <c r="J25" s="189">
        <f>MOD!AH72</f>
        <v>2760.1627000000003</v>
      </c>
      <c r="K25" s="189">
        <f>MOD!AI72</f>
        <v>3339.2322599999993</v>
      </c>
      <c r="L25" s="189">
        <f>MOD!AJ72</f>
        <v>3913.9621250999985</v>
      </c>
      <c r="M25" s="189"/>
      <c r="N25" s="189"/>
      <c r="O25" s="194"/>
      <c r="P25" s="194"/>
    </row>
    <row r="26" spans="1:16" outlineLevel="1" x14ac:dyDescent="0.25">
      <c r="B26" s="162" t="s">
        <v>154</v>
      </c>
      <c r="C26" s="162"/>
      <c r="D26" s="162"/>
      <c r="E26" s="193">
        <f>E25/E19</f>
        <v>-8.061638557416187E-2</v>
      </c>
      <c r="F26" s="193">
        <f t="shared" ref="F26:K26" si="5">F25/F19</f>
        <v>-1.025478664815187</v>
      </c>
      <c r="G26" s="193">
        <f t="shared" si="5"/>
        <v>9.4736104249836431E-2</v>
      </c>
      <c r="H26" s="193">
        <f t="shared" si="5"/>
        <v>0.22419335635194665</v>
      </c>
      <c r="I26" s="193">
        <f t="shared" si="5"/>
        <v>0.15750731067863266</v>
      </c>
      <c r="J26" s="193">
        <f t="shared" si="5"/>
        <v>0.24737738960538466</v>
      </c>
      <c r="K26" s="193">
        <f t="shared" si="5"/>
        <v>0.26484605218460588</v>
      </c>
      <c r="L26" s="193">
        <f>L25/L19</f>
        <v>0.27471669404292276</v>
      </c>
      <c r="M26" s="193"/>
      <c r="N26" s="193"/>
      <c r="O26" s="194"/>
      <c r="P26" s="194"/>
    </row>
    <row r="27" spans="1:16" outlineLevel="1" x14ac:dyDescent="0.25">
      <c r="B27" s="162"/>
      <c r="C27" s="162"/>
      <c r="D27" s="162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4"/>
      <c r="P27" s="194"/>
    </row>
    <row r="28" spans="1:16" outlineLevel="1" x14ac:dyDescent="0.25">
      <c r="A28" s="167" t="s">
        <v>141</v>
      </c>
      <c r="B28" s="176" t="s">
        <v>155</v>
      </c>
      <c r="C28" s="176"/>
      <c r="D28" s="176"/>
      <c r="E28" s="176">
        <f>E18</f>
        <v>2019</v>
      </c>
      <c r="F28" s="176">
        <f>F18</f>
        <v>2020</v>
      </c>
      <c r="G28" s="176">
        <f>G18</f>
        <v>2021</v>
      </c>
      <c r="H28" s="176">
        <f>H18</f>
        <v>2022</v>
      </c>
      <c r="I28" s="176">
        <f t="shared" ref="I28:N28" si="6">H28+1</f>
        <v>2023</v>
      </c>
      <c r="J28" s="187">
        <f t="shared" si="6"/>
        <v>2024</v>
      </c>
      <c r="K28" s="187">
        <f t="shared" si="6"/>
        <v>2025</v>
      </c>
      <c r="L28" s="187">
        <f t="shared" si="6"/>
        <v>2026</v>
      </c>
      <c r="M28" s="187">
        <f t="shared" si="6"/>
        <v>2027</v>
      </c>
      <c r="N28" s="187">
        <f t="shared" si="6"/>
        <v>2028</v>
      </c>
    </row>
    <row r="29" spans="1:16" s="180" customFormat="1" outlineLevel="1" x14ac:dyDescent="0.25">
      <c r="A29" s="195"/>
      <c r="B29" t="s">
        <v>156</v>
      </c>
      <c r="C29"/>
      <c r="D29" s="196"/>
      <c r="E29" s="188">
        <f>MOD!I95</f>
        <v>114.16200000000001</v>
      </c>
      <c r="F29" s="188">
        <f>MOD!N95</f>
        <v>125.876</v>
      </c>
      <c r="G29" s="188">
        <f>MOD!S95</f>
        <v>138.31899999999999</v>
      </c>
      <c r="H29" s="188">
        <f>MOD!X95</f>
        <v>81</v>
      </c>
      <c r="I29" s="188">
        <f>MOD!AC95</f>
        <v>44</v>
      </c>
      <c r="J29" s="189">
        <v>57.02</v>
      </c>
      <c r="K29" s="189">
        <v>61.1</v>
      </c>
      <c r="L29" s="189">
        <v>67.2</v>
      </c>
      <c r="M29" s="189">
        <v>69.27</v>
      </c>
      <c r="N29" s="189">
        <f>N30*N19</f>
        <v>76.889699999999976</v>
      </c>
    </row>
    <row r="30" spans="1:16" s="180" customFormat="1" outlineLevel="1" x14ac:dyDescent="0.25">
      <c r="A30" s="195"/>
      <c r="B30" t="s">
        <v>154</v>
      </c>
      <c r="C30"/>
      <c r="D30" s="196"/>
      <c r="E30" s="191">
        <f t="shared" ref="E30:M30" si="7">E29/E19</f>
        <v>2.3757819330110327E-2</v>
      </c>
      <c r="F30" s="191">
        <f t="shared" si="7"/>
        <v>3.7261274424626852E-2</v>
      </c>
      <c r="G30" s="191">
        <f t="shared" si="7"/>
        <v>2.3084869887979489E-2</v>
      </c>
      <c r="H30" s="191">
        <f t="shared" si="7"/>
        <v>9.6440052387188942E-3</v>
      </c>
      <c r="I30" s="191">
        <f t="shared" si="7"/>
        <v>4.4368256529192292E-3</v>
      </c>
      <c r="J30" s="191">
        <f t="shared" si="7"/>
        <v>5.1103722093262961E-3</v>
      </c>
      <c r="K30" s="191">
        <f t="shared" si="7"/>
        <v>4.8460521846058783E-3</v>
      </c>
      <c r="L30" s="191">
        <f t="shared" si="7"/>
        <v>4.7166940429227448E-3</v>
      </c>
      <c r="M30" s="191">
        <f t="shared" si="7"/>
        <v>4.3410580935541359E-3</v>
      </c>
      <c r="N30" s="191">
        <f>M30</f>
        <v>4.3410580935541359E-3</v>
      </c>
    </row>
    <row r="31" spans="1:16" s="180" customFormat="1" outlineLevel="1" x14ac:dyDescent="0.25">
      <c r="A31" s="195"/>
      <c r="B31"/>
      <c r="C31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</row>
    <row r="32" spans="1:16" s="180" customFormat="1" outlineLevel="1" x14ac:dyDescent="0.25">
      <c r="A32" s="195"/>
      <c r="B32" t="s">
        <v>157</v>
      </c>
      <c r="C32"/>
      <c r="D32" s="196"/>
      <c r="E32" s="188">
        <f>-MOD!I146</f>
        <v>125.452</v>
      </c>
      <c r="F32" s="188">
        <f>-MOD!N146</f>
        <v>37.371000000000002</v>
      </c>
      <c r="G32" s="188">
        <f>-MOD!S146</f>
        <v>25.321999999999999</v>
      </c>
      <c r="H32" s="188">
        <f>-MOD!X146</f>
        <v>25</v>
      </c>
      <c r="I32" s="188">
        <f>-MOD!AC146</f>
        <v>47</v>
      </c>
      <c r="J32" s="189">
        <v>65.319999999999993</v>
      </c>
      <c r="K32" s="189">
        <v>70.739999999999995</v>
      </c>
      <c r="L32" s="189">
        <v>80.22</v>
      </c>
      <c r="M32" s="189">
        <f>M33*M19</f>
        <v>89.846399999999988</v>
      </c>
      <c r="N32" s="189">
        <f>N33*N19</f>
        <v>99.729503999999977</v>
      </c>
    </row>
    <row r="33" spans="1:14" s="180" customFormat="1" outlineLevel="1" x14ac:dyDescent="0.25">
      <c r="A33" s="195"/>
      <c r="B33" s="162" t="s">
        <v>154</v>
      </c>
      <c r="C33" s="162"/>
      <c r="D33" s="196"/>
      <c r="E33" s="197">
        <f t="shared" ref="E33:I33" si="8">E32/E19</f>
        <v>2.6107338261426749E-2</v>
      </c>
      <c r="F33" s="197">
        <f t="shared" si="8"/>
        <v>1.1062403369369301E-2</v>
      </c>
      <c r="G33" s="197">
        <f t="shared" si="8"/>
        <v>4.2261372284604186E-3</v>
      </c>
      <c r="H33" s="197">
        <f t="shared" si="8"/>
        <v>2.9765448267650911E-3</v>
      </c>
      <c r="I33" s="197">
        <f t="shared" si="8"/>
        <v>4.7393364928909956E-3</v>
      </c>
      <c r="J33" s="197">
        <f>J32/J19</f>
        <v>5.854253116681753E-3</v>
      </c>
      <c r="K33" s="197">
        <f>K32/K19</f>
        <v>5.6106339040756098E-3</v>
      </c>
      <c r="L33" s="197">
        <f>L32/L19</f>
        <v>5.6305535137390261E-3</v>
      </c>
      <c r="M33" s="204">
        <f>L33</f>
        <v>5.6305535137390261E-3</v>
      </c>
      <c r="N33" s="204">
        <f>M33</f>
        <v>5.6305535137390261E-3</v>
      </c>
    </row>
    <row r="34" spans="1:14" s="180" customFormat="1" outlineLevel="1" x14ac:dyDescent="0.25">
      <c r="A34" s="195"/>
      <c r="B34"/>
      <c r="C34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</row>
    <row r="35" spans="1:14" s="180" customFormat="1" outlineLevel="1" x14ac:dyDescent="0.25">
      <c r="A35" s="195"/>
      <c r="B35" t="s">
        <v>158</v>
      </c>
      <c r="C35"/>
      <c r="D35" s="196"/>
      <c r="E35" s="188">
        <f>-MOD!I143</f>
        <v>251.96999999999997</v>
      </c>
      <c r="F35" s="188">
        <f>-MOD!N143</f>
        <v>-415.12</v>
      </c>
      <c r="G35" s="188">
        <f>-MOD!S143</f>
        <v>877.76199999999994</v>
      </c>
      <c r="H35" s="188">
        <f>-MOD!X143</f>
        <v>799</v>
      </c>
      <c r="I35" s="188">
        <f>-MOD!AC143</f>
        <v>924</v>
      </c>
      <c r="J35" s="189">
        <f>J36*J19</f>
        <v>1039.6001613391145</v>
      </c>
      <c r="K35" s="189">
        <f t="shared" ref="K35:N35" si="9">K36*K19</f>
        <v>1174.7481823131993</v>
      </c>
      <c r="L35" s="189">
        <f t="shared" si="9"/>
        <v>1339.2431102199996</v>
      </c>
      <c r="M35" s="189">
        <f t="shared" si="9"/>
        <v>1499.9522834463994</v>
      </c>
      <c r="N35" s="189">
        <f t="shared" si="9"/>
        <v>1664.9470346255032</v>
      </c>
    </row>
    <row r="36" spans="1:14" s="180" customFormat="1" outlineLevel="1" x14ac:dyDescent="0.25">
      <c r="A36" s="195"/>
      <c r="B36" s="162" t="s">
        <v>154</v>
      </c>
      <c r="C36" s="162"/>
      <c r="D36" s="196"/>
      <c r="E36" s="191">
        <f t="shared" ref="E36:H36" si="10">E35/E19</f>
        <v>5.2436517725757241E-2</v>
      </c>
      <c r="F36" s="191">
        <f t="shared" si="10"/>
        <v>-0.12288204454503716</v>
      </c>
      <c r="G36" s="191">
        <f t="shared" si="10"/>
        <v>0.14649485293135905</v>
      </c>
      <c r="H36" s="191">
        <f t="shared" si="10"/>
        <v>9.5130372663412316E-2</v>
      </c>
      <c r="I36" s="191">
        <f>I35/I19</f>
        <v>9.3173338711303816E-2</v>
      </c>
      <c r="J36" s="191">
        <f>I36</f>
        <v>9.3173338711303816E-2</v>
      </c>
      <c r="K36" s="191">
        <f>J36</f>
        <v>9.3173338711303816E-2</v>
      </c>
      <c r="L36" s="191">
        <v>9.4E-2</v>
      </c>
      <c r="M36" s="204">
        <f>L36</f>
        <v>9.4E-2</v>
      </c>
      <c r="N36" s="204">
        <f>M36</f>
        <v>9.4E-2</v>
      </c>
    </row>
    <row r="37" spans="1:14" outlineLevel="1" x14ac:dyDescent="0.25">
      <c r="B37" s="162" t="s">
        <v>133</v>
      </c>
      <c r="C37" s="162"/>
      <c r="E37" s="194"/>
      <c r="F37" s="194"/>
      <c r="G37" s="194"/>
      <c r="H37" s="194"/>
    </row>
    <row r="38" spans="1:14" outlineLevel="1" x14ac:dyDescent="0.25">
      <c r="J38">
        <v>1</v>
      </c>
      <c r="K38">
        <f t="shared" ref="K38:N38" si="11">J38+1</f>
        <v>2</v>
      </c>
      <c r="L38">
        <f t="shared" si="11"/>
        <v>3</v>
      </c>
      <c r="M38">
        <f t="shared" si="11"/>
        <v>4</v>
      </c>
      <c r="N38">
        <f t="shared" si="11"/>
        <v>5</v>
      </c>
    </row>
    <row r="39" spans="1:14" x14ac:dyDescent="0.25">
      <c r="A39" s="167" t="s">
        <v>141</v>
      </c>
      <c r="B39" s="176" t="s">
        <v>159</v>
      </c>
      <c r="C39" s="176"/>
      <c r="D39" s="176"/>
      <c r="E39" s="198">
        <f t="shared" ref="E39:N39" si="12">E18</f>
        <v>2019</v>
      </c>
      <c r="F39" s="198">
        <f t="shared" si="12"/>
        <v>2020</v>
      </c>
      <c r="G39" s="198">
        <f t="shared" si="12"/>
        <v>2021</v>
      </c>
      <c r="H39" s="198">
        <f t="shared" si="12"/>
        <v>2022</v>
      </c>
      <c r="I39" s="198">
        <f t="shared" si="12"/>
        <v>2023</v>
      </c>
      <c r="J39" s="187">
        <f t="shared" si="12"/>
        <v>2024</v>
      </c>
      <c r="K39" s="187">
        <f t="shared" si="12"/>
        <v>2025</v>
      </c>
      <c r="L39" s="187">
        <f t="shared" si="12"/>
        <v>2026</v>
      </c>
      <c r="M39" s="187">
        <f t="shared" si="12"/>
        <v>2027</v>
      </c>
      <c r="N39" s="187">
        <f t="shared" si="12"/>
        <v>2028</v>
      </c>
    </row>
    <row r="40" spans="1:14" x14ac:dyDescent="0.25">
      <c r="B40" t="s">
        <v>9</v>
      </c>
      <c r="E40" s="199">
        <f t="shared" ref="E40:J40" si="13">E19</f>
        <v>4805.2389999999996</v>
      </c>
      <c r="F40" s="199">
        <f t="shared" si="13"/>
        <v>3378.1990000000001</v>
      </c>
      <c r="G40" s="199">
        <f t="shared" si="13"/>
        <v>5991.76</v>
      </c>
      <c r="H40" s="199">
        <f t="shared" si="13"/>
        <v>8399</v>
      </c>
      <c r="I40" s="199">
        <f t="shared" si="13"/>
        <v>9917</v>
      </c>
      <c r="J40" s="200">
        <f t="shared" si="13"/>
        <v>11157.699999999999</v>
      </c>
      <c r="K40" s="200">
        <f t="shared" ref="K40:N40" si="14">K19</f>
        <v>12608.200999999997</v>
      </c>
      <c r="L40" s="200">
        <f t="shared" si="14"/>
        <v>14247.267129999995</v>
      </c>
      <c r="M40" s="200">
        <f t="shared" si="14"/>
        <v>15956.939185599993</v>
      </c>
      <c r="N40" s="200">
        <f t="shared" si="14"/>
        <v>17712.202496015991</v>
      </c>
    </row>
    <row r="41" spans="1:14" x14ac:dyDescent="0.25">
      <c r="B41" s="162" t="s">
        <v>153</v>
      </c>
      <c r="C41" s="162"/>
      <c r="E41" s="190" t="s">
        <v>53</v>
      </c>
      <c r="F41" s="191">
        <f>F40/E40-1</f>
        <v>-0.29697586321929037</v>
      </c>
      <c r="G41" s="191">
        <f t="shared" ref="G41:I41" si="15">G40/F40-1</f>
        <v>0.77365513399299446</v>
      </c>
      <c r="H41" s="191">
        <f t="shared" si="15"/>
        <v>0.40175841488978192</v>
      </c>
      <c r="I41" s="191">
        <f t="shared" si="15"/>
        <v>0.18073580188117644</v>
      </c>
      <c r="J41" s="191">
        <f t="shared" ref="J41" si="16">J40/I40-1</f>
        <v>0.12510839971765653</v>
      </c>
      <c r="K41" s="191">
        <f t="shared" ref="K41" si="17">K40/J40-1</f>
        <v>0.12999999999999989</v>
      </c>
      <c r="L41" s="191">
        <f t="shared" ref="L41" si="18">L40/K40-1</f>
        <v>0.12999999999999989</v>
      </c>
      <c r="M41" s="191">
        <f t="shared" ref="M41" si="19">M40/L40-1</f>
        <v>0.11999999999999988</v>
      </c>
      <c r="N41" s="191">
        <f t="shared" ref="N41" si="20">N40/M40-1</f>
        <v>0.10999999999999988</v>
      </c>
    </row>
    <row r="42" spans="1:14" x14ac:dyDescent="0.25">
      <c r="B42" t="s">
        <v>160</v>
      </c>
      <c r="I42" s="200"/>
      <c r="J42" s="201">
        <f>I10</f>
        <v>0</v>
      </c>
      <c r="K42" s="201">
        <f>J42-($J42-$N42)/($N$39-$J$39)</f>
        <v>0</v>
      </c>
      <c r="L42" s="201">
        <f t="shared" ref="L42:M44" si="21">K42-($J42-$N42)/($N$39-$J$39)</f>
        <v>0</v>
      </c>
      <c r="M42" s="201">
        <f t="shared" si="21"/>
        <v>0</v>
      </c>
      <c r="N42" s="201">
        <f>I11</f>
        <v>0</v>
      </c>
    </row>
    <row r="43" spans="1:14" x14ac:dyDescent="0.25">
      <c r="B43" t="s">
        <v>161</v>
      </c>
      <c r="I43" s="200"/>
      <c r="J43" s="201"/>
      <c r="K43" s="201"/>
      <c r="L43" s="201"/>
      <c r="M43" s="201"/>
      <c r="N43" s="201"/>
    </row>
    <row r="44" spans="1:14" x14ac:dyDescent="0.25">
      <c r="B44" t="s">
        <v>162</v>
      </c>
      <c r="I44" s="200"/>
      <c r="J44" s="201">
        <f>Q10</f>
        <v>0</v>
      </c>
      <c r="K44" s="201">
        <f>J44-($J44-$N44)/($N$39-$J$39)</f>
        <v>0</v>
      </c>
      <c r="L44" s="201">
        <f t="shared" si="21"/>
        <v>0</v>
      </c>
      <c r="M44" s="201">
        <f t="shared" si="21"/>
        <v>0</v>
      </c>
      <c r="N44" s="201">
        <f>Q11</f>
        <v>0</v>
      </c>
    </row>
    <row r="45" spans="1:14" x14ac:dyDescent="0.25">
      <c r="J45" s="180"/>
      <c r="K45" s="180"/>
      <c r="L45" s="180"/>
      <c r="M45" s="180"/>
      <c r="N45" s="180"/>
    </row>
    <row r="46" spans="1:14" x14ac:dyDescent="0.25">
      <c r="B46" t="s">
        <v>148</v>
      </c>
      <c r="E46" s="202">
        <f t="shared" ref="E46:J46" si="22">E22</f>
        <v>-501.54300000000001</v>
      </c>
      <c r="F46" s="202">
        <f t="shared" si="22"/>
        <v>-3590.1469999999999</v>
      </c>
      <c r="G46" s="202">
        <f t="shared" si="22"/>
        <v>429.31700000000001</v>
      </c>
      <c r="H46" s="202">
        <f t="shared" si="22"/>
        <v>1802</v>
      </c>
      <c r="I46" s="202">
        <f t="shared" si="22"/>
        <v>1518</v>
      </c>
      <c r="J46" s="200">
        <f t="shared" si="22"/>
        <v>2703.1427000000003</v>
      </c>
      <c r="K46" s="200">
        <f t="shared" ref="K46:N46" si="23">K22</f>
        <v>3278.1322599999994</v>
      </c>
      <c r="L46" s="200">
        <f t="shared" si="23"/>
        <v>3846.7621250999987</v>
      </c>
      <c r="M46" s="200">
        <f t="shared" si="23"/>
        <v>4467.9429719679983</v>
      </c>
      <c r="N46" s="200">
        <f t="shared" si="23"/>
        <v>5136.5387238446383</v>
      </c>
    </row>
    <row r="47" spans="1:14" x14ac:dyDescent="0.25">
      <c r="B47" s="162" t="s">
        <v>154</v>
      </c>
      <c r="C47" s="162"/>
      <c r="E47" s="191">
        <f>E46/E40</f>
        <v>-0.1043742049042722</v>
      </c>
      <c r="F47" s="191">
        <f t="shared" ref="F47:I47" si="24">F46/F40</f>
        <v>-1.0627399392398138</v>
      </c>
      <c r="G47" s="191">
        <f t="shared" si="24"/>
        <v>7.1651234361856955E-2</v>
      </c>
      <c r="H47" s="191">
        <f t="shared" si="24"/>
        <v>0.21454935111322776</v>
      </c>
      <c r="I47" s="191">
        <f t="shared" si="24"/>
        <v>0.15307048502571341</v>
      </c>
      <c r="J47" s="191">
        <f>J46/J40</f>
        <v>0.24226701739605838</v>
      </c>
      <c r="K47" s="191">
        <f t="shared" ref="K47:N47" si="25">K46/K40</f>
        <v>0.26</v>
      </c>
      <c r="L47" s="191">
        <f t="shared" si="25"/>
        <v>0.27</v>
      </c>
      <c r="M47" s="191">
        <f t="shared" si="25"/>
        <v>0.28000000000000003</v>
      </c>
      <c r="N47" s="191">
        <f t="shared" si="25"/>
        <v>0.29000000000000004</v>
      </c>
    </row>
    <row r="48" spans="1:14" x14ac:dyDescent="0.25">
      <c r="B48" t="s">
        <v>160</v>
      </c>
      <c r="C48" s="162"/>
      <c r="E48" s="203"/>
      <c r="F48" s="203"/>
      <c r="G48" s="203"/>
      <c r="H48" s="203"/>
      <c r="I48" s="204"/>
      <c r="J48" s="201">
        <f>I12</f>
        <v>0</v>
      </c>
      <c r="K48" s="201">
        <f>J48-($J48-$N48)/($N$39-$J$39)</f>
        <v>0</v>
      </c>
      <c r="L48" s="201">
        <f t="shared" ref="L48:M48" si="26">K48-($J48-$N48)/($N$39-$J$39)</f>
        <v>0</v>
      </c>
      <c r="M48" s="201">
        <f t="shared" si="26"/>
        <v>0</v>
      </c>
      <c r="N48" s="201">
        <f>I13</f>
        <v>0</v>
      </c>
    </row>
    <row r="49" spans="2:14" x14ac:dyDescent="0.25">
      <c r="B49" t="s">
        <v>161</v>
      </c>
      <c r="C49" s="162"/>
      <c r="E49" s="203"/>
      <c r="F49" s="203"/>
      <c r="G49" s="203"/>
      <c r="H49" s="203"/>
      <c r="I49" s="204"/>
      <c r="J49" s="201">
        <f>J23</f>
        <v>0.24226701739605838</v>
      </c>
      <c r="K49" s="201">
        <f>K23</f>
        <v>0.26</v>
      </c>
      <c r="L49" s="201">
        <f>L23</f>
        <v>0.27</v>
      </c>
      <c r="M49" s="201">
        <f>M23</f>
        <v>0.28000000000000003</v>
      </c>
      <c r="N49" s="201">
        <f>N23</f>
        <v>0.29000000000000004</v>
      </c>
    </row>
    <row r="50" spans="2:14" x14ac:dyDescent="0.25">
      <c r="B50" t="s">
        <v>162</v>
      </c>
      <c r="C50" s="162"/>
      <c r="E50" s="203"/>
      <c r="F50" s="203"/>
      <c r="G50" s="203"/>
      <c r="H50" s="203"/>
      <c r="I50" s="204"/>
      <c r="J50" s="201">
        <f>Q12</f>
        <v>0</v>
      </c>
      <c r="K50" s="201">
        <f>J50-($J50-$N50)/($N$39-$J$39)</f>
        <v>0</v>
      </c>
      <c r="L50" s="201">
        <f t="shared" ref="L50:M50" si="27">K50-($J50-$N50)/($N$39-$J$39)</f>
        <v>0</v>
      </c>
      <c r="M50" s="201">
        <f t="shared" si="27"/>
        <v>0</v>
      </c>
      <c r="N50" s="201">
        <f>Q13</f>
        <v>0</v>
      </c>
    </row>
    <row r="51" spans="2:14" x14ac:dyDescent="0.25">
      <c r="J51" s="180"/>
      <c r="K51" s="180"/>
      <c r="L51" s="180"/>
      <c r="M51" s="180"/>
      <c r="N51" s="180"/>
    </row>
    <row r="52" spans="2:14" x14ac:dyDescent="0.25">
      <c r="B52" t="s">
        <v>151</v>
      </c>
      <c r="E52" s="202">
        <f>MOD!I64</f>
        <v>262.63600000000002</v>
      </c>
      <c r="F52" s="202">
        <f>MOD!N64</f>
        <v>97.221999999999994</v>
      </c>
      <c r="G52" s="202">
        <f>MOD!S64</f>
        <v>51.826999999999998</v>
      </c>
      <c r="H52" s="202">
        <f>MOD!X64</f>
        <v>96</v>
      </c>
      <c r="I52" s="202">
        <f>MOD!AC64</f>
        <v>-2690</v>
      </c>
      <c r="J52" s="205">
        <v>467.1</v>
      </c>
      <c r="K52" s="205">
        <f>K53*K46</f>
        <v>566.45754537709001</v>
      </c>
      <c r="L52" s="205">
        <f t="shared" ref="L52:N52" si="28">L53*L46</f>
        <v>664.71614267134669</v>
      </c>
      <c r="M52" s="205">
        <f t="shared" si="28"/>
        <v>772.05549015457154</v>
      </c>
      <c r="N52" s="205">
        <f t="shared" si="28"/>
        <v>887.58807957413069</v>
      </c>
    </row>
    <row r="53" spans="2:14" x14ac:dyDescent="0.25">
      <c r="B53" s="162" t="s">
        <v>163</v>
      </c>
      <c r="C53" s="162"/>
      <c r="E53" s="2">
        <f>E52/E46</f>
        <v>-0.52365599759143289</v>
      </c>
      <c r="F53" s="2">
        <f t="shared" ref="F53:H53" si="29">F52/F46</f>
        <v>-2.7080228191213338E-2</v>
      </c>
      <c r="G53" s="2">
        <f t="shared" si="29"/>
        <v>0.12071965470736075</v>
      </c>
      <c r="H53" s="2">
        <f t="shared" si="29"/>
        <v>5.327413984461709E-2</v>
      </c>
      <c r="I53" s="2">
        <f>I52/I46</f>
        <v>-1.772068511198946</v>
      </c>
      <c r="J53" s="201">
        <f>J52/J46</f>
        <v>0.17279886851700429</v>
      </c>
      <c r="K53" s="201">
        <f>J53</f>
        <v>0.17279886851700429</v>
      </c>
      <c r="L53" s="201">
        <f>K53</f>
        <v>0.17279886851700429</v>
      </c>
      <c r="M53" s="201">
        <f>L53</f>
        <v>0.17279886851700429</v>
      </c>
      <c r="N53" s="201">
        <f>M53</f>
        <v>0.17279886851700429</v>
      </c>
    </row>
    <row r="54" spans="2:14" x14ac:dyDescent="0.25">
      <c r="I54" s="200"/>
      <c r="J54" s="180"/>
      <c r="K54" s="180"/>
      <c r="L54" s="180"/>
      <c r="M54" s="180"/>
      <c r="N54" s="180"/>
    </row>
    <row r="55" spans="2:14" x14ac:dyDescent="0.25">
      <c r="B55" s="206" t="s">
        <v>164</v>
      </c>
      <c r="C55" s="207"/>
      <c r="D55" s="207"/>
      <c r="E55" s="207"/>
      <c r="F55" s="207"/>
      <c r="G55" s="207"/>
      <c r="H55" s="207"/>
      <c r="I55" s="208"/>
      <c r="J55" s="208">
        <f>J46-J52</f>
        <v>2236.0427000000004</v>
      </c>
      <c r="K55" s="208">
        <f t="shared" ref="K55:M55" si="30">K46-K52</f>
        <v>2711.6747146229095</v>
      </c>
      <c r="L55" s="208">
        <f t="shared" si="30"/>
        <v>3182.0459824286518</v>
      </c>
      <c r="M55" s="208">
        <f t="shared" si="30"/>
        <v>3695.8874818134268</v>
      </c>
      <c r="N55" s="209">
        <f>N46-N52</f>
        <v>4248.9506442705078</v>
      </c>
    </row>
    <row r="56" spans="2:14" x14ac:dyDescent="0.25">
      <c r="J56" s="180"/>
      <c r="K56" s="180"/>
      <c r="L56" s="180"/>
      <c r="M56" s="180"/>
      <c r="N56" s="180"/>
    </row>
    <row r="57" spans="2:14" x14ac:dyDescent="0.25">
      <c r="B57" t="s">
        <v>156</v>
      </c>
      <c r="E57" s="199">
        <f>E29</f>
        <v>114.16200000000001</v>
      </c>
      <c r="F57" s="199">
        <f t="shared" ref="F57:I57" si="31">F29</f>
        <v>125.876</v>
      </c>
      <c r="G57" s="199">
        <f t="shared" si="31"/>
        <v>138.31899999999999</v>
      </c>
      <c r="H57" s="199">
        <f t="shared" si="31"/>
        <v>81</v>
      </c>
      <c r="I57" s="199">
        <f t="shared" si="31"/>
        <v>44</v>
      </c>
      <c r="J57" s="200">
        <f>J29</f>
        <v>57.02</v>
      </c>
      <c r="K57" s="200">
        <f t="shared" ref="K57:M57" si="32">K29</f>
        <v>61.1</v>
      </c>
      <c r="L57" s="200">
        <f t="shared" si="32"/>
        <v>67.2</v>
      </c>
      <c r="M57" s="200">
        <f t="shared" si="32"/>
        <v>69.27</v>
      </c>
      <c r="N57" s="200">
        <f>N29</f>
        <v>76.889699999999976</v>
      </c>
    </row>
    <row r="58" spans="2:14" x14ac:dyDescent="0.25">
      <c r="B58" t="s">
        <v>154</v>
      </c>
      <c r="E58" s="191">
        <f>E57/E40</f>
        <v>2.3757819330110327E-2</v>
      </c>
      <c r="F58" s="191">
        <f t="shared" ref="F58:I58" si="33">F57/F40</f>
        <v>3.7261274424626852E-2</v>
      </c>
      <c r="G58" s="191">
        <f t="shared" si="33"/>
        <v>2.3084869887979489E-2</v>
      </c>
      <c r="H58" s="191">
        <f t="shared" si="33"/>
        <v>9.6440052387188942E-3</v>
      </c>
      <c r="I58" s="191">
        <f t="shared" si="33"/>
        <v>4.4368256529192292E-3</v>
      </c>
      <c r="J58" s="201">
        <f>J57/$J$40</f>
        <v>5.1103722093262961E-3</v>
      </c>
      <c r="K58" s="201">
        <f t="shared" ref="K58:N58" si="34">K57/$J$40</f>
        <v>5.4760389686046417E-3</v>
      </c>
      <c r="L58" s="201">
        <f t="shared" si="34"/>
        <v>6.0227466234080507E-3</v>
      </c>
      <c r="M58" s="201">
        <f t="shared" si="34"/>
        <v>6.2082687292183874E-3</v>
      </c>
      <c r="N58" s="201">
        <f t="shared" si="34"/>
        <v>6.8911782894324081E-3</v>
      </c>
    </row>
    <row r="59" spans="2:14" x14ac:dyDescent="0.25">
      <c r="J59" s="180"/>
      <c r="K59" s="180"/>
      <c r="L59" s="180"/>
      <c r="M59" s="180"/>
      <c r="N59" s="180"/>
    </row>
    <row r="60" spans="2:14" x14ac:dyDescent="0.25">
      <c r="B60" t="s">
        <v>157</v>
      </c>
      <c r="E60" s="199">
        <f t="shared" ref="E60:H60" si="35">E32</f>
        <v>125.452</v>
      </c>
      <c r="F60" s="199">
        <f t="shared" si="35"/>
        <v>37.371000000000002</v>
      </c>
      <c r="G60" s="199">
        <f t="shared" si="35"/>
        <v>25.321999999999999</v>
      </c>
      <c r="H60" s="199">
        <f t="shared" si="35"/>
        <v>25</v>
      </c>
      <c r="I60" s="199">
        <f>I32</f>
        <v>47</v>
      </c>
      <c r="J60" s="200">
        <f>J32</f>
        <v>65.319999999999993</v>
      </c>
      <c r="K60" s="200">
        <f t="shared" ref="K60:M60" si="36">K32</f>
        <v>70.739999999999995</v>
      </c>
      <c r="L60" s="200">
        <f t="shared" si="36"/>
        <v>80.22</v>
      </c>
      <c r="M60" s="200">
        <f t="shared" si="36"/>
        <v>89.846399999999988</v>
      </c>
      <c r="N60" s="200">
        <f>N32</f>
        <v>99.729503999999977</v>
      </c>
    </row>
    <row r="61" spans="2:14" x14ac:dyDescent="0.25">
      <c r="B61" s="162" t="s">
        <v>154</v>
      </c>
      <c r="C61" s="162"/>
      <c r="E61" s="191">
        <f>E60/E40</f>
        <v>2.6107338261426749E-2</v>
      </c>
      <c r="F61" s="191">
        <f t="shared" ref="F61:I61" si="37">F60/F40</f>
        <v>1.1062403369369301E-2</v>
      </c>
      <c r="G61" s="191">
        <f t="shared" si="37"/>
        <v>4.2261372284604186E-3</v>
      </c>
      <c r="H61" s="191">
        <f t="shared" si="37"/>
        <v>2.9765448267650911E-3</v>
      </c>
      <c r="I61" s="191">
        <f t="shared" si="37"/>
        <v>4.7393364928909956E-3</v>
      </c>
      <c r="J61" s="201">
        <f>J60/$J$40</f>
        <v>5.854253116681753E-3</v>
      </c>
      <c r="K61" s="201">
        <f t="shared" ref="K61" si="38">K60/$J$40</f>
        <v>6.3400163116054389E-3</v>
      </c>
      <c r="L61" s="201">
        <f t="shared" ref="L61" si="39">L60/$J$40</f>
        <v>7.1896537816933601E-3</v>
      </c>
      <c r="M61" s="201">
        <f t="shared" ref="M61" si="40">M60/$J$40</f>
        <v>8.0524122354965633E-3</v>
      </c>
      <c r="N61" s="201">
        <f t="shared" ref="N61" si="41">N60/$J$40</f>
        <v>8.9381775814011844E-3</v>
      </c>
    </row>
    <row r="62" spans="2:14" x14ac:dyDescent="0.25">
      <c r="J62" s="180"/>
      <c r="K62" s="180"/>
      <c r="L62" s="180"/>
      <c r="M62" s="180"/>
      <c r="N62" s="180"/>
    </row>
    <row r="63" spans="2:14" x14ac:dyDescent="0.25">
      <c r="B63" t="s">
        <v>158</v>
      </c>
      <c r="E63" s="199">
        <f t="shared" ref="E63:I63" si="42">E35</f>
        <v>251.96999999999997</v>
      </c>
      <c r="F63" s="199">
        <f t="shared" si="42"/>
        <v>-415.12</v>
      </c>
      <c r="G63" s="199">
        <f t="shared" si="42"/>
        <v>877.76199999999994</v>
      </c>
      <c r="H63" s="199">
        <f t="shared" si="42"/>
        <v>799</v>
      </c>
      <c r="I63" s="199">
        <f t="shared" si="42"/>
        <v>924</v>
      </c>
      <c r="J63" s="200">
        <f>J35</f>
        <v>1039.6001613391145</v>
      </c>
      <c r="K63" s="200">
        <f t="shared" ref="K63:L63" si="43">K35</f>
        <v>1174.7481823131993</v>
      </c>
      <c r="L63" s="200">
        <f t="shared" si="43"/>
        <v>1339.2431102199996</v>
      </c>
      <c r="M63" s="200">
        <f>M35</f>
        <v>1499.9522834463994</v>
      </c>
      <c r="N63" s="200">
        <f>N35</f>
        <v>1664.9470346255032</v>
      </c>
    </row>
    <row r="64" spans="2:14" x14ac:dyDescent="0.25">
      <c r="B64" s="162" t="s">
        <v>154</v>
      </c>
      <c r="C64" s="162"/>
      <c r="E64" s="191">
        <f>E63/E40</f>
        <v>5.2436517725757241E-2</v>
      </c>
      <c r="F64" s="191">
        <f t="shared" ref="F64:I64" si="44">F63/F40</f>
        <v>-0.12288204454503716</v>
      </c>
      <c r="G64" s="191">
        <f t="shared" si="44"/>
        <v>0.14649485293135905</v>
      </c>
      <c r="H64" s="191">
        <f t="shared" si="44"/>
        <v>9.5130372663412316E-2</v>
      </c>
      <c r="I64" s="191">
        <f t="shared" si="44"/>
        <v>9.3173338711303816E-2</v>
      </c>
      <c r="J64" s="201">
        <f>J63/$J$40</f>
        <v>9.3173338711303816E-2</v>
      </c>
      <c r="K64" s="201">
        <f t="shared" ref="K64" si="45">K63/$J$40</f>
        <v>0.10528587274377331</v>
      </c>
      <c r="L64" s="201">
        <f t="shared" ref="L64" si="46">L63/$J$40</f>
        <v>0.12002859999999997</v>
      </c>
      <c r="M64" s="201">
        <f t="shared" ref="M64" si="47">M63/$J$40</f>
        <v>0.13443203199999995</v>
      </c>
      <c r="N64" s="201">
        <f t="shared" ref="N64" si="48">N63/$J$40</f>
        <v>0.14921955551999994</v>
      </c>
    </row>
    <row r="66" spans="1:19" x14ac:dyDescent="0.25">
      <c r="B66" s="210" t="s">
        <v>165</v>
      </c>
      <c r="C66" s="211"/>
      <c r="D66" s="211"/>
      <c r="E66" s="211"/>
      <c r="F66" s="211"/>
      <c r="G66" s="211"/>
      <c r="H66" s="211"/>
      <c r="I66" s="212"/>
      <c r="J66" s="212">
        <f>J55+J57-J60-J63</f>
        <v>1188.1425386608857</v>
      </c>
      <c r="K66" s="212">
        <f>K55+K57-K60-K63</f>
        <v>1527.2865323097103</v>
      </c>
      <c r="L66" s="212">
        <f t="shared" ref="L66:N66" si="49">L55+L57-L60-L63</f>
        <v>1829.7828722086522</v>
      </c>
      <c r="M66" s="212">
        <f t="shared" si="49"/>
        <v>2175.3587983670277</v>
      </c>
      <c r="N66" s="213">
        <f t="shared" si="49"/>
        <v>2561.1638056450047</v>
      </c>
    </row>
    <row r="67" spans="1:19" x14ac:dyDescent="0.25">
      <c r="B67" s="11" t="s">
        <v>166</v>
      </c>
      <c r="C67" s="14"/>
      <c r="D67" s="14"/>
      <c r="E67" s="14"/>
      <c r="F67" s="14"/>
      <c r="G67" s="14"/>
      <c r="H67" s="14"/>
      <c r="I67" s="214"/>
      <c r="J67" s="214">
        <f>J66/(1+wacc)^J70</f>
        <v>1163.4967906854556</v>
      </c>
      <c r="K67" s="214">
        <f>K66/(1+wacc)^K70</f>
        <v>1395.8536147256373</v>
      </c>
      <c r="L67" s="214">
        <f>L66/(1+wacc)^L70</f>
        <v>1519.0463997601958</v>
      </c>
      <c r="M67" s="214">
        <f>M66/(1+wacc)^M70</f>
        <v>1640.4179341411225</v>
      </c>
      <c r="N67" s="215">
        <f>N66/(1+wacc)^N70</f>
        <v>1754.3372867783592</v>
      </c>
    </row>
    <row r="69" spans="1:19" ht="14.45" customHeight="1" x14ac:dyDescent="0.25">
      <c r="B69" t="s">
        <v>167</v>
      </c>
      <c r="J69" s="216">
        <f>YEARFRAC(D5,D6)</f>
        <v>0.43611111111111112</v>
      </c>
      <c r="K69" s="216"/>
      <c r="L69" s="216"/>
      <c r="M69" s="216"/>
      <c r="N69" s="216"/>
    </row>
    <row r="70" spans="1:19" x14ac:dyDescent="0.25">
      <c r="B70" t="s">
        <v>168</v>
      </c>
      <c r="J70" s="216">
        <f>J69/2</f>
        <v>0.21805555555555556</v>
      </c>
      <c r="K70" s="217">
        <f>J69+0.5</f>
        <v>0.93611111111111112</v>
      </c>
      <c r="L70" s="217">
        <f>K70+1</f>
        <v>1.9361111111111111</v>
      </c>
      <c r="M70" s="217">
        <f>L70+1</f>
        <v>2.9361111111111109</v>
      </c>
      <c r="N70" s="217">
        <f>M70+1</f>
        <v>3.9361111111111109</v>
      </c>
    </row>
    <row r="71" spans="1:19" x14ac:dyDescent="0.25">
      <c r="P71" s="167" t="s">
        <v>18</v>
      </c>
      <c r="Q71" s="167" t="s">
        <v>286</v>
      </c>
      <c r="R71" s="167" t="s">
        <v>287</v>
      </c>
    </row>
    <row r="72" spans="1:19" x14ac:dyDescent="0.25">
      <c r="B72" t="s">
        <v>169</v>
      </c>
      <c r="N72" s="200">
        <f>R72</f>
        <v>79132.495146598187</v>
      </c>
      <c r="P72" s="107">
        <f>N46+N57</f>
        <v>5213.428423844638</v>
      </c>
      <c r="Q72" s="167">
        <f>'ABNB Comps &amp; market share'!Z24</f>
        <v>15.178590499999999</v>
      </c>
      <c r="R72" s="167">
        <f>Q72*P72</f>
        <v>79132.495146598187</v>
      </c>
    </row>
    <row r="73" spans="1:19" x14ac:dyDescent="0.25">
      <c r="B73" t="s">
        <v>170</v>
      </c>
      <c r="N73" s="200">
        <f>N72/(1+wacc)^N70</f>
        <v>54203.907819368455</v>
      </c>
    </row>
    <row r="74" spans="1:19" x14ac:dyDescent="0.25">
      <c r="B74" t="s">
        <v>43</v>
      </c>
      <c r="N74" s="218">
        <f>SUM(J67:N67,N73)</f>
        <v>61677.059845459225</v>
      </c>
    </row>
    <row r="75" spans="1:19" x14ac:dyDescent="0.25">
      <c r="B75" t="s">
        <v>171</v>
      </c>
      <c r="N75" s="219">
        <v>11128</v>
      </c>
    </row>
    <row r="76" spans="1:19" x14ac:dyDescent="0.25">
      <c r="B76" t="s">
        <v>172</v>
      </c>
      <c r="N76" s="200">
        <f>1992</f>
        <v>1992</v>
      </c>
    </row>
    <row r="77" spans="1:19" x14ac:dyDescent="0.25">
      <c r="B77" t="s">
        <v>44</v>
      </c>
      <c r="N77" s="218">
        <f>N74+N75-N76</f>
        <v>70813.059845459225</v>
      </c>
    </row>
    <row r="79" spans="1:19" x14ac:dyDescent="0.25">
      <c r="B79" t="s">
        <v>173</v>
      </c>
      <c r="N79">
        <v>683.15</v>
      </c>
      <c r="S79" s="218"/>
    </row>
    <row r="80" spans="1:19" x14ac:dyDescent="0.25">
      <c r="A80" s="167" t="s">
        <v>141</v>
      </c>
      <c r="B80" t="s">
        <v>174</v>
      </c>
      <c r="N80" s="216">
        <f>N77/N79</f>
        <v>103.65667839487554</v>
      </c>
      <c r="S80" s="220"/>
    </row>
  </sheetData>
  <mergeCells count="2">
    <mergeCell ref="T7:T15"/>
    <mergeCell ref="U7:AA7"/>
  </mergeCells>
  <conditionalFormatting sqref="T7:AA15">
    <cfRule type="colorScale" priority="1">
      <colorScale>
        <cfvo type="min"/>
        <cfvo type="max"/>
        <color theme="5" tint="0.79998168889431442"/>
        <color theme="8" tint="-0.249977111117893"/>
      </colorScale>
    </cfRule>
  </conditionalFormatting>
  <conditionalFormatting sqref="U8:AA15">
    <cfRule type="colorScale" priority="2">
      <colorScale>
        <cfvo type="min"/>
        <cfvo type="max"/>
        <color theme="5" tint="0.79998168889431442"/>
        <color theme="8" tint="0.39997558519241921"/>
      </colorScale>
    </cfRule>
    <cfRule type="colorScale" priority="3">
      <colorScale>
        <cfvo type="min"/>
        <cfvo type="max"/>
        <color theme="5" tint="0.79998168889431442"/>
        <color theme="4" tint="-0.249977111117893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8838-D5D3-4EFA-B069-D77889AC7C95}">
  <sheetPr>
    <tabColor rgb="FFFF0000"/>
  </sheetPr>
  <dimension ref="B1:AG48"/>
  <sheetViews>
    <sheetView zoomScale="90" zoomScaleNormal="90" zoomScaleSheetLayoutView="40" workbookViewId="0">
      <selection activeCell="G33" sqref="G33"/>
    </sheetView>
  </sheetViews>
  <sheetFormatPr defaultColWidth="11.42578125" defaultRowHeight="15" x14ac:dyDescent="0.25"/>
  <cols>
    <col min="2" max="2" width="20" bestFit="1" customWidth="1"/>
    <col min="3" max="3" width="10.85546875" bestFit="1" customWidth="1"/>
    <col min="4" max="4" width="24.140625" bestFit="1" customWidth="1"/>
    <col min="5" max="5" width="0" hidden="1" customWidth="1"/>
    <col min="6" max="6" width="16.42578125" bestFit="1" customWidth="1"/>
    <col min="7" max="7" width="10.28515625" bestFit="1" customWidth="1"/>
    <col min="8" max="8" width="8.28515625" bestFit="1" customWidth="1"/>
    <col min="9" max="9" width="9.7109375" bestFit="1" customWidth="1"/>
    <col min="10" max="12" width="9.42578125" bestFit="1" customWidth="1"/>
    <col min="13" max="13" width="9.28515625" bestFit="1" customWidth="1"/>
    <col min="16" max="16" width="11.42578125" customWidth="1"/>
    <col min="17" max="17" width="11" bestFit="1" customWidth="1"/>
    <col min="18" max="18" width="12.7109375" bestFit="1" customWidth="1"/>
    <col min="19" max="19" width="11" bestFit="1" customWidth="1"/>
    <col min="21" max="25" width="11" bestFit="1" customWidth="1"/>
    <col min="27" max="28" width="11" bestFit="1" customWidth="1"/>
  </cols>
  <sheetData>
    <row r="1" spans="2:33" x14ac:dyDescent="0.25">
      <c r="U1" s="221">
        <f>C33</f>
        <v>137.59200000000001</v>
      </c>
      <c r="V1" s="221">
        <f>C39</f>
        <v>82.628</v>
      </c>
    </row>
    <row r="2" spans="2:33" x14ac:dyDescent="0.25">
      <c r="B2" s="91" t="s">
        <v>26</v>
      </c>
      <c r="C2" s="222" t="s">
        <v>280</v>
      </c>
      <c r="F2" s="223"/>
      <c r="G2" s="397"/>
      <c r="H2" s="397"/>
      <c r="I2" s="397"/>
      <c r="J2" s="397"/>
      <c r="K2" s="397"/>
      <c r="L2" s="397"/>
      <c r="M2" s="177"/>
      <c r="P2" s="397" t="s">
        <v>176</v>
      </c>
      <c r="Q2" s="397"/>
      <c r="R2" s="397"/>
      <c r="S2" s="397"/>
      <c r="U2" s="397" t="s">
        <v>177</v>
      </c>
      <c r="V2" s="397"/>
      <c r="W2" s="397"/>
      <c r="X2" s="397"/>
      <c r="Y2" s="397"/>
      <c r="AA2" s="397" t="str">
        <f>J3</f>
        <v>2024E</v>
      </c>
      <c r="AB2" s="397"/>
      <c r="AD2" s="397" t="str">
        <f>K3</f>
        <v>2025E</v>
      </c>
      <c r="AE2" s="397"/>
      <c r="AG2" s="224">
        <f>+C19</f>
        <v>1.7392117963271401</v>
      </c>
    </row>
    <row r="3" spans="2:33" x14ac:dyDescent="0.25">
      <c r="B3" s="91" t="s">
        <v>178</v>
      </c>
      <c r="C3" s="222" t="s">
        <v>288</v>
      </c>
      <c r="G3" s="225">
        <v>2021</v>
      </c>
      <c r="H3" s="225">
        <f>G3+1</f>
        <v>2022</v>
      </c>
      <c r="I3" s="225">
        <f>H3+1</f>
        <v>2023</v>
      </c>
      <c r="J3" s="226" t="s">
        <v>95</v>
      </c>
      <c r="K3" s="226" t="s">
        <v>96</v>
      </c>
      <c r="L3" s="226" t="s">
        <v>97</v>
      </c>
      <c r="M3" s="227"/>
      <c r="O3" s="228"/>
      <c r="P3" s="229" t="s">
        <v>96</v>
      </c>
      <c r="Q3" s="230" t="s">
        <v>47</v>
      </c>
      <c r="R3" s="230" t="s">
        <v>179</v>
      </c>
      <c r="S3" s="230" t="s">
        <v>180</v>
      </c>
      <c r="U3" s="231" t="s">
        <v>28</v>
      </c>
      <c r="V3" s="231" t="s">
        <v>181</v>
      </c>
      <c r="W3" s="231" t="s">
        <v>182</v>
      </c>
      <c r="X3" s="231" t="s">
        <v>183</v>
      </c>
      <c r="Y3" s="231" t="s">
        <v>184</v>
      </c>
      <c r="AA3" s="231" t="s">
        <v>47</v>
      </c>
      <c r="AB3" s="231" t="s">
        <v>185</v>
      </c>
      <c r="AD3" s="231" t="s">
        <v>47</v>
      </c>
      <c r="AE3" s="231" t="s">
        <v>185</v>
      </c>
      <c r="AG3" s="231" t="s">
        <v>186</v>
      </c>
    </row>
    <row r="4" spans="2:33" x14ac:dyDescent="0.25">
      <c r="B4" s="91" t="s">
        <v>187</v>
      </c>
      <c r="C4" s="232">
        <v>45498</v>
      </c>
      <c r="F4" s="1" t="s">
        <v>9</v>
      </c>
      <c r="G4" s="233">
        <f>MOD!S14</f>
        <v>5991.76</v>
      </c>
      <c r="H4" s="233">
        <f>MOD!X14</f>
        <v>8399</v>
      </c>
      <c r="I4" s="233">
        <f>MOD!AC14</f>
        <v>9917</v>
      </c>
      <c r="J4" s="234">
        <f>MOD!AH14</f>
        <v>11157.699999999999</v>
      </c>
      <c r="K4" s="234">
        <f>MOD!AI14</f>
        <v>12608.200999999997</v>
      </c>
      <c r="L4" s="234">
        <f>MOD!AJ14</f>
        <v>14247.267129999995</v>
      </c>
      <c r="M4" s="234"/>
      <c r="O4" s="228" t="s">
        <v>188</v>
      </c>
      <c r="P4" s="235">
        <v>5.13</v>
      </c>
      <c r="Q4" s="236">
        <v>27.8</v>
      </c>
      <c r="R4" s="237">
        <f>+IFERROR(P4*Q4,"n.a.")</f>
        <v>142.614</v>
      </c>
      <c r="S4" s="238">
        <f>+IFERROR(R4/$C$8-1,"n.a.")</f>
        <v>1.8453188602442383E-2</v>
      </c>
      <c r="U4" s="239">
        <v>200</v>
      </c>
      <c r="V4" s="240">
        <f>+IFERROR($U$1/U4-1,"n.a.")</f>
        <v>-0.31203999999999998</v>
      </c>
      <c r="W4" s="240">
        <f>+IFERROR($V$1/U4-1,"n.a.")</f>
        <v>-0.58685999999999994</v>
      </c>
      <c r="X4" s="241">
        <f>+IFERROR(V4/-W4,"n.a.")</f>
        <v>-0.53171114064683234</v>
      </c>
      <c r="Y4" s="223">
        <f t="shared" ref="Y4:Y48" si="0">+U4/$C$8-1</f>
        <v>0.42826537170606294</v>
      </c>
      <c r="AA4" s="242">
        <f>+U4/$J$11</f>
        <v>44.293472825679906</v>
      </c>
      <c r="AB4" s="242">
        <f>+U4/$J$13</f>
        <v>44.052863436123346</v>
      </c>
      <c r="AD4" s="242">
        <f>+U4/$K$11</f>
        <v>39.651294038044377</v>
      </c>
      <c r="AE4" s="242">
        <f>+U4/$K$13</f>
        <v>38.98635477582846</v>
      </c>
      <c r="AG4" s="223">
        <f>+$AG$2/U4</f>
        <v>8.6960589816357011E-3</v>
      </c>
    </row>
    <row r="5" spans="2:33" x14ac:dyDescent="0.25">
      <c r="F5" s="106" t="s">
        <v>189</v>
      </c>
      <c r="G5" s="243">
        <f>MOD!S15</f>
        <v>0.77365513399299446</v>
      </c>
      <c r="H5" s="243">
        <f>H4/G4-1</f>
        <v>0.40175841488978192</v>
      </c>
      <c r="I5" s="243">
        <f>I4/H4-1</f>
        <v>0.18073580188117644</v>
      </c>
      <c r="J5" s="244">
        <f>J4/I4-1</f>
        <v>0.12510839971765653</v>
      </c>
      <c r="K5" s="244">
        <f>K4/J4-1</f>
        <v>0.12999999999999989</v>
      </c>
      <c r="L5" s="244">
        <f>L4/K4-1</f>
        <v>0.12999999999999989</v>
      </c>
      <c r="M5" s="244"/>
      <c r="O5" s="195" t="s">
        <v>190</v>
      </c>
      <c r="P5" s="235">
        <v>5.04</v>
      </c>
      <c r="Q5" s="236">
        <v>27.3</v>
      </c>
      <c r="R5" s="237">
        <f>+IFERROR(P5*Q5,"n.a.")</f>
        <v>137.59200000000001</v>
      </c>
      <c r="S5" s="238">
        <f>+IFERROR(R5/$C$8-1,"n.a.")</f>
        <v>-1.7410554881096774E-2</v>
      </c>
      <c r="U5" s="245">
        <f>+U4-2</f>
        <v>198</v>
      </c>
      <c r="V5" s="240">
        <f>+IFERROR($U$1/U5-1,"n.a.")</f>
        <v>-0.30509090909090908</v>
      </c>
      <c r="W5" s="240">
        <f t="shared" ref="W5:W48" si="1">+IFERROR($V$1/U5-1,"n.a.")</f>
        <v>-0.5826868686868687</v>
      </c>
      <c r="X5" s="241">
        <f t="shared" ref="X5:X48" si="2">+IFERROR(V5/-W5,"n.a.")</f>
        <v>-0.52359324619491732</v>
      </c>
      <c r="Y5" s="223">
        <f t="shared" si="0"/>
        <v>0.41398271798900232</v>
      </c>
      <c r="AA5" s="242">
        <f t="shared" ref="AA5:AA48" si="3">+U5/$J$11</f>
        <v>43.850538097423112</v>
      </c>
      <c r="AB5" s="242">
        <f t="shared" ref="AB5:AB48" si="4">+U5/$J$13</f>
        <v>43.612334801762117</v>
      </c>
      <c r="AD5" s="242">
        <f t="shared" ref="AD5:AD48" si="5">+U5/$K$11</f>
        <v>39.25478109766393</v>
      </c>
      <c r="AE5" s="242">
        <f t="shared" ref="AE5:AE48" si="6">+U5/$K$13</f>
        <v>38.596491228070178</v>
      </c>
      <c r="AG5" s="223">
        <f t="shared" ref="AG5:AG48" si="7">+$AG$2/U5</f>
        <v>8.7838979612481823E-3</v>
      </c>
    </row>
    <row r="6" spans="2:33" x14ac:dyDescent="0.25">
      <c r="F6" s="106"/>
      <c r="G6" s="243"/>
      <c r="H6" s="243"/>
      <c r="I6" s="243"/>
      <c r="J6" s="244"/>
      <c r="K6" s="244"/>
      <c r="L6" s="244"/>
      <c r="M6" s="244"/>
      <c r="O6" s="228" t="s">
        <v>191</v>
      </c>
      <c r="P6" s="235">
        <v>4.54</v>
      </c>
      <c r="Q6" s="236">
        <v>18.2</v>
      </c>
      <c r="R6" s="237">
        <f>+IFERROR(P6*Q6,"n.a.")</f>
        <v>82.628</v>
      </c>
      <c r="S6" s="238">
        <f>+IFERROR(R6/$C$8-1,"n.a.")</f>
        <v>-0.40992644433335712</v>
      </c>
      <c r="U6" s="245">
        <f t="shared" ref="U6:U48" si="8">+U5-2</f>
        <v>196</v>
      </c>
      <c r="V6" s="240">
        <f>+IFERROR($U$1/U6-1,"n.a.")</f>
        <v>-0.29799999999999993</v>
      </c>
      <c r="W6" s="240">
        <f t="shared" si="1"/>
        <v>-0.5784285714285714</v>
      </c>
      <c r="X6" s="241">
        <f t="shared" si="2"/>
        <v>-0.51518893553963929</v>
      </c>
      <c r="Y6" s="223">
        <f t="shared" si="0"/>
        <v>0.39970006427194171</v>
      </c>
      <c r="AA6" s="242">
        <f t="shared" si="3"/>
        <v>43.40760336916631</v>
      </c>
      <c r="AB6" s="242">
        <f t="shared" si="4"/>
        <v>43.171806167400881</v>
      </c>
      <c r="AD6" s="242">
        <f t="shared" si="5"/>
        <v>38.85826815728349</v>
      </c>
      <c r="AE6" s="242">
        <f t="shared" si="6"/>
        <v>38.20662768031189</v>
      </c>
      <c r="AG6" s="223">
        <f>+$AG$2/U6</f>
        <v>8.8735295730976542E-3</v>
      </c>
    </row>
    <row r="7" spans="2:33" x14ac:dyDescent="0.25">
      <c r="B7" s="397" t="s">
        <v>192</v>
      </c>
      <c r="C7" s="397"/>
      <c r="F7" s="1" t="s">
        <v>18</v>
      </c>
      <c r="G7" s="246">
        <f>MOD!S72</f>
        <v>567.63599999999997</v>
      </c>
      <c r="H7" s="246">
        <f>MOD!X72</f>
        <v>1883</v>
      </c>
      <c r="I7" s="246">
        <f>MOD!AC72</f>
        <v>1562</v>
      </c>
      <c r="J7" s="234">
        <f>MOD!AH72</f>
        <v>2760.1627000000003</v>
      </c>
      <c r="K7" s="234">
        <f>MOD!AI72</f>
        <v>3339.2322599999993</v>
      </c>
      <c r="L7" s="234">
        <f>MOD!AJ72</f>
        <v>3913.9621250999985</v>
      </c>
      <c r="M7" s="234"/>
      <c r="O7" s="247"/>
      <c r="P7" s="248"/>
      <c r="Q7" s="248"/>
      <c r="R7" s="248"/>
      <c r="S7" s="248"/>
      <c r="U7" s="245">
        <f t="shared" si="8"/>
        <v>194</v>
      </c>
      <c r="V7" s="240">
        <f t="shared" ref="V7:V48" si="9">+IFERROR($U$1/U7-1,"n.a.")</f>
        <v>-0.29076288659793803</v>
      </c>
      <c r="W7" s="240">
        <f t="shared" si="1"/>
        <v>-0.57408247422680414</v>
      </c>
      <c r="X7" s="241">
        <f t="shared" si="2"/>
        <v>-0.50648277843623146</v>
      </c>
      <c r="Y7" s="223">
        <f t="shared" si="0"/>
        <v>0.3854174105548811</v>
      </c>
      <c r="AA7" s="242">
        <f t="shared" si="3"/>
        <v>42.964668640909508</v>
      </c>
      <c r="AB7" s="242">
        <f t="shared" si="4"/>
        <v>42.731277533039645</v>
      </c>
      <c r="AD7" s="242">
        <f t="shared" si="5"/>
        <v>38.461755216903043</v>
      </c>
      <c r="AE7" s="242">
        <f t="shared" si="6"/>
        <v>37.816764132553608</v>
      </c>
      <c r="AG7" s="223">
        <f>+$AG$2/U7</f>
        <v>8.9650092594182485E-3</v>
      </c>
    </row>
    <row r="8" spans="2:33" x14ac:dyDescent="0.25">
      <c r="B8" s="249" t="s">
        <v>193</v>
      </c>
      <c r="C8" s="250">
        <f>DCF!I5</f>
        <v>140.03</v>
      </c>
      <c r="F8" s="106" t="s">
        <v>194</v>
      </c>
      <c r="G8" s="243">
        <f>G7/G4</f>
        <v>9.4736104249836431E-2</v>
      </c>
      <c r="H8" s="243">
        <f t="shared" ref="H8:L8" si="10">H7/H4</f>
        <v>0.22419335635194665</v>
      </c>
      <c r="I8" s="243">
        <f t="shared" si="10"/>
        <v>0.15750731067863266</v>
      </c>
      <c r="J8" s="244">
        <f t="shared" si="10"/>
        <v>0.24737738960538466</v>
      </c>
      <c r="K8" s="244">
        <f t="shared" si="10"/>
        <v>0.26484605218460588</v>
      </c>
      <c r="L8" s="244">
        <f t="shared" si="10"/>
        <v>0.27471669404292276</v>
      </c>
      <c r="M8" s="244"/>
      <c r="P8" s="251"/>
      <c r="Q8" s="252"/>
      <c r="R8" s="252"/>
      <c r="S8" s="252"/>
      <c r="U8" s="245">
        <f t="shared" si="8"/>
        <v>192</v>
      </c>
      <c r="V8" s="240">
        <f t="shared" si="9"/>
        <v>-0.28337499999999993</v>
      </c>
      <c r="W8" s="240">
        <f t="shared" si="1"/>
        <v>-0.56964583333333341</v>
      </c>
      <c r="X8" s="241">
        <f t="shared" si="2"/>
        <v>-0.49745821599678142</v>
      </c>
      <c r="Y8" s="223">
        <f t="shared" si="0"/>
        <v>0.37113475683782049</v>
      </c>
      <c r="AA8" s="242">
        <f>+U8/$J$11</f>
        <v>42.521733912652714</v>
      </c>
      <c r="AB8" s="242">
        <f t="shared" si="4"/>
        <v>42.290748898678416</v>
      </c>
      <c r="AD8" s="242">
        <f t="shared" si="5"/>
        <v>38.065242276522596</v>
      </c>
      <c r="AE8" s="242">
        <f t="shared" si="6"/>
        <v>37.42690058479532</v>
      </c>
      <c r="AG8" s="223">
        <f t="shared" si="7"/>
        <v>9.0583947725371879E-3</v>
      </c>
    </row>
    <row r="9" spans="2:33" x14ac:dyDescent="0.25">
      <c r="B9" s="253" t="s">
        <v>173</v>
      </c>
      <c r="C9" s="254">
        <f>DCF!N79</f>
        <v>683.15</v>
      </c>
      <c r="F9" s="106" t="s">
        <v>189</v>
      </c>
      <c r="G9" s="243">
        <f>MOD!S73</f>
        <v>-1.1638543866804878</v>
      </c>
      <c r="H9" s="243">
        <f>H7/G7-1</f>
        <v>2.3172666990818063</v>
      </c>
      <c r="I9" s="243">
        <f t="shared" ref="I9:K9" si="11">I7/H7-1</f>
        <v>-0.17047265002655332</v>
      </c>
      <c r="J9" s="244">
        <f t="shared" si="11"/>
        <v>0.76706959026888621</v>
      </c>
      <c r="K9" s="244">
        <f t="shared" si="11"/>
        <v>0.20979544430478647</v>
      </c>
      <c r="L9" s="244">
        <f>L7/K7-1</f>
        <v>0.17211437251148243</v>
      </c>
      <c r="M9" s="244"/>
      <c r="P9" s="397" t="s">
        <v>159</v>
      </c>
      <c r="Q9" s="397"/>
      <c r="R9" s="397"/>
      <c r="S9" s="397"/>
      <c r="U9" s="245">
        <f t="shared" si="8"/>
        <v>190</v>
      </c>
      <c r="V9" s="240">
        <f t="shared" si="9"/>
        <v>-0.27583157894736832</v>
      </c>
      <c r="W9" s="240">
        <f t="shared" si="1"/>
        <v>-0.56511578947368424</v>
      </c>
      <c r="X9" s="241">
        <f t="shared" si="2"/>
        <v>-0.48809745557501005</v>
      </c>
      <c r="Y9" s="223">
        <f t="shared" si="0"/>
        <v>0.35685210312075988</v>
      </c>
      <c r="AA9" s="242">
        <f t="shared" si="3"/>
        <v>42.078799184395912</v>
      </c>
      <c r="AB9" s="242">
        <f t="shared" si="4"/>
        <v>41.85022026431718</v>
      </c>
      <c r="AD9" s="242">
        <f t="shared" si="5"/>
        <v>37.668729336142157</v>
      </c>
      <c r="AE9" s="242">
        <f t="shared" si="6"/>
        <v>37.037037037037038</v>
      </c>
      <c r="AG9" s="223">
        <f t="shared" si="7"/>
        <v>9.1537462964586327E-3</v>
      </c>
    </row>
    <row r="10" spans="2:33" x14ac:dyDescent="0.25">
      <c r="B10" s="249" t="s">
        <v>175</v>
      </c>
      <c r="C10" s="255">
        <f>C8*C9</f>
        <v>95661.494500000001</v>
      </c>
      <c r="F10" s="106"/>
      <c r="G10" s="180"/>
      <c r="H10" s="243"/>
      <c r="I10" s="243"/>
      <c r="J10" s="244"/>
      <c r="K10" s="244"/>
      <c r="L10" s="244"/>
      <c r="M10" s="244"/>
      <c r="P10" s="398" t="s">
        <v>193</v>
      </c>
      <c r="Q10" s="399"/>
      <c r="R10" s="400"/>
      <c r="S10" s="256">
        <f>C8</f>
        <v>140.03</v>
      </c>
      <c r="U10" s="245">
        <f t="shared" si="8"/>
        <v>188</v>
      </c>
      <c r="V10" s="240">
        <f>+IFERROR($U$1/U10-1,"n.a.")</f>
        <v>-0.26812765957446805</v>
      </c>
      <c r="W10" s="240">
        <f t="shared" si="1"/>
        <v>-0.5604893617021276</v>
      </c>
      <c r="X10" s="241">
        <f>+IFERROR(V10/-W10,"n.a.")</f>
        <v>-0.47838135368029455</v>
      </c>
      <c r="Y10" s="223">
        <f t="shared" si="0"/>
        <v>0.34256944940369927</v>
      </c>
      <c r="AA10" s="242">
        <f t="shared" si="3"/>
        <v>41.63586445613911</v>
      </c>
      <c r="AB10" s="242">
        <f t="shared" si="4"/>
        <v>41.409691629955944</v>
      </c>
      <c r="AD10" s="242">
        <f>+U10/$K$11</f>
        <v>37.27221639576171</v>
      </c>
      <c r="AE10" s="242">
        <f t="shared" si="6"/>
        <v>36.647173489278757</v>
      </c>
      <c r="AG10" s="223">
        <f t="shared" si="7"/>
        <v>9.2511265762081924E-3</v>
      </c>
    </row>
    <row r="11" spans="2:33" x14ac:dyDescent="0.25">
      <c r="B11" s="253" t="s">
        <v>195</v>
      </c>
      <c r="C11" s="257">
        <f>DCF!N76</f>
        <v>1992</v>
      </c>
      <c r="F11" s="258" t="s">
        <v>196</v>
      </c>
      <c r="G11" s="259">
        <f>MOD!S78</f>
        <v>-0.56999999999999995</v>
      </c>
      <c r="H11" s="259">
        <f>MOD!X78</f>
        <v>2.8</v>
      </c>
      <c r="I11" s="259">
        <f>MOD!AC78</f>
        <v>7.2</v>
      </c>
      <c r="J11" s="260">
        <f>MOD!AH78</f>
        <v>4.5153379773835782</v>
      </c>
      <c r="K11" s="260">
        <f>MOD!AI78</f>
        <v>5.043971573994666</v>
      </c>
      <c r="L11" s="261">
        <f>MOD!AJ78</f>
        <v>5.6624988810380881</v>
      </c>
      <c r="M11" s="262"/>
      <c r="P11" s="398" t="s">
        <v>197</v>
      </c>
      <c r="Q11" s="399"/>
      <c r="R11" s="400"/>
      <c r="S11" s="263">
        <f>DCF!N80</f>
        <v>103.65667839487554</v>
      </c>
      <c r="U11" s="245">
        <f t="shared" si="8"/>
        <v>186</v>
      </c>
      <c r="V11" s="240">
        <f t="shared" si="9"/>
        <v>-0.26025806451612898</v>
      </c>
      <c r="W11" s="240">
        <f t="shared" si="1"/>
        <v>-0.55576344086021501</v>
      </c>
      <c r="X11" s="241">
        <f t="shared" si="2"/>
        <v>-0.46828928529969427</v>
      </c>
      <c r="Y11" s="223">
        <f t="shared" si="0"/>
        <v>0.32828679568663865</v>
      </c>
      <c r="AA11" s="242">
        <f t="shared" si="3"/>
        <v>41.192929727882316</v>
      </c>
      <c r="AB11" s="242">
        <f t="shared" si="4"/>
        <v>40.969162995594715</v>
      </c>
      <c r="AD11" s="242">
        <f t="shared" si="5"/>
        <v>36.87570345538127</v>
      </c>
      <c r="AE11" s="242">
        <f t="shared" si="6"/>
        <v>36.257309941520468</v>
      </c>
      <c r="AG11" s="223">
        <f t="shared" si="7"/>
        <v>9.3506010555222587E-3</v>
      </c>
    </row>
    <row r="12" spans="2:33" ht="15.75" thickBot="1" x14ac:dyDescent="0.3">
      <c r="B12" s="253" t="s">
        <v>49</v>
      </c>
      <c r="C12" s="257">
        <f>DCF!N75</f>
        <v>11128</v>
      </c>
      <c r="F12" s="264" t="s">
        <v>189</v>
      </c>
      <c r="G12" s="265"/>
      <c r="H12" s="385">
        <f>H11/G11-1</f>
        <v>-5.9122807017543861</v>
      </c>
      <c r="I12" s="266">
        <f t="shared" ref="I12:L12" si="12">I11/H11-1</f>
        <v>1.5714285714285716</v>
      </c>
      <c r="J12" s="266">
        <f t="shared" si="12"/>
        <v>-0.37286972536339191</v>
      </c>
      <c r="K12" s="266">
        <f t="shared" si="12"/>
        <v>0.11707508923117316</v>
      </c>
      <c r="L12" s="267">
        <f t="shared" si="12"/>
        <v>0.12262704061069241</v>
      </c>
      <c r="M12" s="244"/>
      <c r="P12" s="401" t="s">
        <v>198</v>
      </c>
      <c r="Q12" s="402"/>
      <c r="R12" s="403"/>
      <c r="S12" s="268">
        <f>S11/S10-1</f>
        <v>-0.25975377851263626</v>
      </c>
      <c r="U12" s="245">
        <f t="shared" si="8"/>
        <v>184</v>
      </c>
      <c r="V12" s="240">
        <f t="shared" si="9"/>
        <v>-0.25221739130434773</v>
      </c>
      <c r="W12" s="240">
        <f t="shared" si="1"/>
        <v>-0.55093478260869566</v>
      </c>
      <c r="X12" s="241">
        <f t="shared" si="2"/>
        <v>-0.45779899775085803</v>
      </c>
      <c r="Y12" s="223">
        <f t="shared" si="0"/>
        <v>0.31400414196957804</v>
      </c>
      <c r="AA12" s="242">
        <f t="shared" si="3"/>
        <v>40.749994999625514</v>
      </c>
      <c r="AB12" s="242">
        <f t="shared" si="4"/>
        <v>40.528634361233479</v>
      </c>
      <c r="AD12" s="242">
        <f t="shared" si="5"/>
        <v>36.479190515000823</v>
      </c>
      <c r="AE12" s="242">
        <f t="shared" si="6"/>
        <v>35.867446393762187</v>
      </c>
      <c r="AG12" s="223">
        <f t="shared" si="7"/>
        <v>9.452238023517065E-3</v>
      </c>
    </row>
    <row r="13" spans="2:33" x14ac:dyDescent="0.25">
      <c r="B13" s="249" t="s">
        <v>199</v>
      </c>
      <c r="C13" s="255">
        <f>+C11-C12</f>
        <v>-9136</v>
      </c>
      <c r="F13" s="1" t="s">
        <v>200</v>
      </c>
      <c r="G13" s="269">
        <f>MOD!S79</f>
        <v>-0.56999999999999995</v>
      </c>
      <c r="H13" s="269">
        <f>MOD!X79</f>
        <v>2.79</v>
      </c>
      <c r="I13" s="269">
        <f>MOD!AC79</f>
        <v>7.24</v>
      </c>
      <c r="J13" s="269">
        <f>MOD!AH79</f>
        <v>4.54</v>
      </c>
      <c r="K13" s="269">
        <f>MOD!AI79</f>
        <v>5.13</v>
      </c>
      <c r="L13" s="269">
        <f>MOD!AJ79</f>
        <v>5.96</v>
      </c>
      <c r="M13" s="269"/>
      <c r="P13" s="251"/>
      <c r="Q13" s="252"/>
      <c r="R13" s="252"/>
      <c r="S13" s="252"/>
      <c r="U13" s="245">
        <f t="shared" si="8"/>
        <v>182</v>
      </c>
      <c r="V13" s="240">
        <f t="shared" si="9"/>
        <v>-0.24399999999999988</v>
      </c>
      <c r="W13" s="240">
        <f t="shared" si="1"/>
        <v>-0.54600000000000004</v>
      </c>
      <c r="X13" s="241">
        <f t="shared" si="2"/>
        <v>-0.44688644688644663</v>
      </c>
      <c r="Y13" s="223">
        <f t="shared" si="0"/>
        <v>0.29972148825251721</v>
      </c>
      <c r="AA13" s="242">
        <f t="shared" si="3"/>
        <v>40.307060271368719</v>
      </c>
      <c r="AB13" s="242">
        <f t="shared" si="4"/>
        <v>40.088105726872243</v>
      </c>
      <c r="AD13" s="242">
        <f t="shared" si="5"/>
        <v>36.082677574620384</v>
      </c>
      <c r="AE13" s="242">
        <f t="shared" si="6"/>
        <v>35.477582846003898</v>
      </c>
      <c r="AG13" s="223">
        <f t="shared" si="7"/>
        <v>9.5561087710282419E-3</v>
      </c>
    </row>
    <row r="14" spans="2:33" x14ac:dyDescent="0.25">
      <c r="B14" s="253" t="s">
        <v>201</v>
      </c>
      <c r="C14" s="257">
        <v>0</v>
      </c>
      <c r="F14" s="106" t="s">
        <v>189</v>
      </c>
      <c r="I14" s="223"/>
      <c r="J14" s="240">
        <f>+J13/I11-1</f>
        <v>-0.36944444444444446</v>
      </c>
      <c r="K14" s="240">
        <f>+K13/J13-1</f>
        <v>0.12995594713656389</v>
      </c>
      <c r="L14" s="240">
        <f>+L13/K13-1</f>
        <v>0.16179337231968804</v>
      </c>
      <c r="M14" s="240"/>
      <c r="U14" s="245">
        <f t="shared" si="8"/>
        <v>180</v>
      </c>
      <c r="V14" s="240">
        <f t="shared" si="9"/>
        <v>-0.23559999999999992</v>
      </c>
      <c r="W14" s="240">
        <f t="shared" si="1"/>
        <v>-0.54095555555555563</v>
      </c>
      <c r="X14" s="241">
        <f t="shared" si="2"/>
        <v>-0.43552561311259891</v>
      </c>
      <c r="Y14" s="223">
        <f t="shared" si="0"/>
        <v>0.2854388345354566</v>
      </c>
      <c r="AA14" s="242">
        <f t="shared" si="3"/>
        <v>39.864125543111918</v>
      </c>
      <c r="AB14" s="242">
        <f t="shared" si="4"/>
        <v>39.647577092511014</v>
      </c>
      <c r="AD14" s="242">
        <f t="shared" si="5"/>
        <v>35.686164634239937</v>
      </c>
      <c r="AE14" s="242">
        <f t="shared" si="6"/>
        <v>35.087719298245617</v>
      </c>
      <c r="AG14" s="223">
        <f t="shared" si="7"/>
        <v>9.6622877573729997E-3</v>
      </c>
    </row>
    <row r="15" spans="2:33" ht="15.75" thickBot="1" x14ac:dyDescent="0.3">
      <c r="B15" s="270" t="s">
        <v>43</v>
      </c>
      <c r="C15" s="271">
        <f>+C10-C12+C11+C14</f>
        <v>86525.494500000001</v>
      </c>
      <c r="F15" s="272" t="s">
        <v>202</v>
      </c>
      <c r="G15" s="273"/>
      <c r="H15" s="273"/>
      <c r="I15" s="274"/>
      <c r="J15" s="275">
        <f>+IFERROR(J11/J13-1,"n.a.")</f>
        <v>-5.432163571899129E-3</v>
      </c>
      <c r="K15" s="275">
        <f t="shared" ref="K15:L15" si="13">+IFERROR(K11/K13-1,"n.a.")</f>
        <v>-1.6769673685250286E-2</v>
      </c>
      <c r="L15" s="276">
        <f t="shared" si="13"/>
        <v>-4.9916295127837573E-2</v>
      </c>
      <c r="M15" s="277"/>
      <c r="P15" s="248"/>
      <c r="Q15" s="291"/>
      <c r="R15" s="291"/>
      <c r="S15" s="291"/>
      <c r="U15" s="245">
        <f>+U14-2</f>
        <v>178</v>
      </c>
      <c r="V15" s="240">
        <f t="shared" si="9"/>
        <v>-0.22701123595505612</v>
      </c>
      <c r="W15" s="240">
        <f t="shared" si="1"/>
        <v>-0.53579775280898878</v>
      </c>
      <c r="X15" s="241">
        <f t="shared" si="2"/>
        <v>-0.42368829425827276</v>
      </c>
      <c r="Y15" s="223">
        <f t="shared" si="0"/>
        <v>0.27115618081839599</v>
      </c>
      <c r="AA15" s="242">
        <f t="shared" si="3"/>
        <v>39.421190814855116</v>
      </c>
      <c r="AB15" s="242">
        <f t="shared" si="4"/>
        <v>39.207048458149778</v>
      </c>
      <c r="AD15" s="242">
        <f t="shared" si="5"/>
        <v>35.28965169385949</v>
      </c>
      <c r="AE15" s="242">
        <f t="shared" si="6"/>
        <v>34.697855750487328</v>
      </c>
      <c r="AG15" s="223">
        <f t="shared" si="7"/>
        <v>9.7708527883547201E-3</v>
      </c>
    </row>
    <row r="16" spans="2:33" x14ac:dyDescent="0.25">
      <c r="C16" s="278"/>
      <c r="F16" s="1"/>
      <c r="G16" s="279"/>
      <c r="H16" s="279"/>
      <c r="I16" s="279"/>
      <c r="J16" s="279"/>
      <c r="K16" s="279"/>
      <c r="L16" s="279"/>
      <c r="M16" s="279"/>
      <c r="U16" s="245">
        <f>+U15-2</f>
        <v>176</v>
      </c>
      <c r="V16" s="240">
        <f t="shared" si="9"/>
        <v>-0.2182272727272726</v>
      </c>
      <c r="W16" s="240">
        <f t="shared" si="1"/>
        <v>-0.53052272727272731</v>
      </c>
      <c r="X16" s="241">
        <f t="shared" si="2"/>
        <v>-0.41134387182452958</v>
      </c>
      <c r="Y16" s="223">
        <f t="shared" si="0"/>
        <v>0.25687352710133537</v>
      </c>
      <c r="AA16" s="242">
        <f t="shared" si="3"/>
        <v>38.978256086598321</v>
      </c>
      <c r="AB16" s="242">
        <f t="shared" si="4"/>
        <v>38.766519823788549</v>
      </c>
      <c r="AD16" s="242">
        <f t="shared" si="5"/>
        <v>34.89313875347905</v>
      </c>
      <c r="AE16" s="242">
        <f t="shared" si="6"/>
        <v>34.307992202729046</v>
      </c>
      <c r="AG16" s="223">
        <f t="shared" si="7"/>
        <v>9.8818852064042045E-3</v>
      </c>
    </row>
    <row r="17" spans="2:33" x14ac:dyDescent="0.25">
      <c r="C17" s="287"/>
      <c r="G17" s="280">
        <f>G3</f>
        <v>2021</v>
      </c>
      <c r="H17" s="280">
        <f t="shared" ref="H17:L17" si="14">H3</f>
        <v>2022</v>
      </c>
      <c r="I17" s="280">
        <f t="shared" si="14"/>
        <v>2023</v>
      </c>
      <c r="J17" s="280" t="str">
        <f t="shared" si="14"/>
        <v>2024E</v>
      </c>
      <c r="K17" s="280" t="str">
        <f t="shared" si="14"/>
        <v>2025E</v>
      </c>
      <c r="L17" s="280" t="str">
        <f t="shared" si="14"/>
        <v>2026E</v>
      </c>
      <c r="M17" s="281"/>
      <c r="U17" s="245">
        <f t="shared" si="8"/>
        <v>174</v>
      </c>
      <c r="V17" s="240">
        <f t="shared" si="9"/>
        <v>-0.2092413793103447</v>
      </c>
      <c r="W17" s="240">
        <f t="shared" si="1"/>
        <v>-0.5251264367816092</v>
      </c>
      <c r="X17" s="241">
        <f t="shared" si="2"/>
        <v>-0.39845904653504333</v>
      </c>
      <c r="Y17" s="223">
        <f t="shared" si="0"/>
        <v>0.24259087338427476</v>
      </c>
      <c r="AA17" s="242">
        <f t="shared" si="3"/>
        <v>38.53532135834152</v>
      </c>
      <c r="AB17" s="242">
        <f t="shared" si="4"/>
        <v>38.325991189427313</v>
      </c>
      <c r="AD17" s="242">
        <f t="shared" si="5"/>
        <v>34.496625813098603</v>
      </c>
      <c r="AE17" s="242">
        <f t="shared" si="6"/>
        <v>33.918128654970758</v>
      </c>
      <c r="AG17" s="223">
        <f t="shared" si="7"/>
        <v>9.9954700938341377E-3</v>
      </c>
    </row>
    <row r="18" spans="2:33" ht="15.75" thickBot="1" x14ac:dyDescent="0.3">
      <c r="B18" t="s">
        <v>206</v>
      </c>
      <c r="C18" s="297">
        <f>DCF!J66</f>
        <v>1188.1425386608857</v>
      </c>
      <c r="F18" s="282" t="s">
        <v>203</v>
      </c>
      <c r="G18" s="283">
        <f>+$C$15/G4</f>
        <v>14.440747710188658</v>
      </c>
      <c r="H18" s="283">
        <f>+$C$15/H4</f>
        <v>10.301880521490654</v>
      </c>
      <c r="I18" s="283">
        <f t="shared" ref="I18:L18" si="15">+$C$15/I4</f>
        <v>8.7249666733891296</v>
      </c>
      <c r="J18" s="284">
        <f>+$C$15/J4</f>
        <v>7.7547787178361141</v>
      </c>
      <c r="K18" s="284">
        <f t="shared" si="15"/>
        <v>6.8626360334832874</v>
      </c>
      <c r="L18" s="285">
        <f t="shared" si="15"/>
        <v>6.073129233171052</v>
      </c>
      <c r="M18" s="286"/>
      <c r="U18" s="245">
        <f t="shared" si="8"/>
        <v>172</v>
      </c>
      <c r="V18" s="240">
        <f t="shared" si="9"/>
        <v>-0.20004651162790688</v>
      </c>
      <c r="W18" s="240">
        <f t="shared" si="1"/>
        <v>-0.51960465116279075</v>
      </c>
      <c r="X18" s="241">
        <f t="shared" si="2"/>
        <v>-0.38499753837891038</v>
      </c>
      <c r="Y18" s="223">
        <f t="shared" si="0"/>
        <v>0.22830821966721415</v>
      </c>
      <c r="AA18" s="242">
        <f t="shared" si="3"/>
        <v>38.092386630084718</v>
      </c>
      <c r="AB18" s="242">
        <f t="shared" si="4"/>
        <v>37.885462555066077</v>
      </c>
      <c r="AD18" s="242">
        <f t="shared" si="5"/>
        <v>34.100112872718164</v>
      </c>
      <c r="AE18" s="242">
        <f t="shared" si="6"/>
        <v>33.528265107212476</v>
      </c>
      <c r="AG18" s="223">
        <f t="shared" si="7"/>
        <v>1.0111696490274069E-2</v>
      </c>
    </row>
    <row r="19" spans="2:33" x14ac:dyDescent="0.25">
      <c r="B19" t="s">
        <v>207</v>
      </c>
      <c r="C19" s="300">
        <f>+C18/C9</f>
        <v>1.7392117963271401</v>
      </c>
      <c r="F19" s="288" t="s">
        <v>204</v>
      </c>
      <c r="G19" s="286">
        <f t="shared" ref="G19:L19" si="16">+$C$15/G7</f>
        <v>152.43130192588208</v>
      </c>
      <c r="H19" s="286">
        <f t="shared" si="16"/>
        <v>45.950873340414233</v>
      </c>
      <c r="I19" s="286">
        <f t="shared" si="16"/>
        <v>55.394042573623558</v>
      </c>
      <c r="J19" s="289">
        <f>+$C$15/J7</f>
        <v>31.347968907774892</v>
      </c>
      <c r="K19" s="289">
        <f t="shared" si="16"/>
        <v>25.911792820305354</v>
      </c>
      <c r="L19" s="290">
        <f t="shared" si="16"/>
        <v>22.106880888069234</v>
      </c>
      <c r="M19" s="286"/>
      <c r="T19" s="292" t="s">
        <v>205</v>
      </c>
      <c r="U19" s="293">
        <f t="shared" si="8"/>
        <v>170</v>
      </c>
      <c r="V19" s="294">
        <f t="shared" si="9"/>
        <v>-0.19063529411764701</v>
      </c>
      <c r="W19" s="294">
        <f t="shared" si="1"/>
        <v>-0.51395294117647061</v>
      </c>
      <c r="X19" s="295">
        <f t="shared" si="2"/>
        <v>-0.37091974545621015</v>
      </c>
      <c r="Y19" s="296">
        <f t="shared" si="0"/>
        <v>0.21402556595015354</v>
      </c>
      <c r="AA19" s="242">
        <f t="shared" si="3"/>
        <v>37.649451901827923</v>
      </c>
      <c r="AB19" s="242">
        <f t="shared" si="4"/>
        <v>37.444933920704848</v>
      </c>
      <c r="AD19" s="242">
        <f t="shared" si="5"/>
        <v>33.703599932337717</v>
      </c>
      <c r="AE19" s="242">
        <f t="shared" si="6"/>
        <v>33.138401559454195</v>
      </c>
      <c r="AG19" s="223">
        <f t="shared" si="7"/>
        <v>1.0230657625453766E-2</v>
      </c>
    </row>
    <row r="20" spans="2:33" x14ac:dyDescent="0.25">
      <c r="B20" s="272" t="s">
        <v>209</v>
      </c>
      <c r="C20" s="309">
        <f>+C19/C8</f>
        <v>1.2420279913783762E-2</v>
      </c>
      <c r="F20" s="288" t="s">
        <v>47</v>
      </c>
      <c r="G20" s="286">
        <f t="shared" ref="G20:L20" si="17">+$C$8/G11</f>
        <v>-245.66666666666669</v>
      </c>
      <c r="H20" s="286">
        <f>+$C$8/H11</f>
        <v>50.010714285714286</v>
      </c>
      <c r="I20" s="286">
        <f t="shared" si="17"/>
        <v>19.448611111111109</v>
      </c>
      <c r="J20" s="289">
        <f>+$C$8/J11</f>
        <v>31.012074998899788</v>
      </c>
      <c r="K20" s="289">
        <f>+$C$8/K11</f>
        <v>27.761853520736768</v>
      </c>
      <c r="L20" s="290">
        <f t="shared" si="17"/>
        <v>24.729364710148737</v>
      </c>
      <c r="M20" s="286"/>
      <c r="U20" s="298">
        <f t="shared" si="8"/>
        <v>168</v>
      </c>
      <c r="V20" s="240">
        <f t="shared" si="9"/>
        <v>-0.18099999999999994</v>
      </c>
      <c r="W20" s="240">
        <f t="shared" si="1"/>
        <v>-0.50816666666666666</v>
      </c>
      <c r="X20" s="241">
        <f t="shared" si="2"/>
        <v>-0.35618235487044919</v>
      </c>
      <c r="Y20" s="299">
        <f t="shared" si="0"/>
        <v>0.19974291223309293</v>
      </c>
      <c r="AA20" s="242">
        <f t="shared" si="3"/>
        <v>37.206517173571122</v>
      </c>
      <c r="AB20" s="242">
        <f t="shared" si="4"/>
        <v>37.004405286343612</v>
      </c>
      <c r="AD20" s="242">
        <f t="shared" si="5"/>
        <v>33.307086991957277</v>
      </c>
      <c r="AE20" s="242">
        <f t="shared" si="6"/>
        <v>32.748538011695906</v>
      </c>
      <c r="AG20" s="223">
        <f t="shared" si="7"/>
        <v>1.0352451168613929E-2</v>
      </c>
    </row>
    <row r="21" spans="2:33" ht="15.75" thickBot="1" x14ac:dyDescent="0.3">
      <c r="F21" s="301" t="s">
        <v>208</v>
      </c>
      <c r="G21" s="302">
        <f t="shared" ref="G21:L21" si="18">+$C$8/G13</f>
        <v>-245.66666666666669</v>
      </c>
      <c r="H21" s="302">
        <f>+$C$8/H13</f>
        <v>50.189964157706093</v>
      </c>
      <c r="I21" s="302">
        <f t="shared" si="18"/>
        <v>19.341160220994475</v>
      </c>
      <c r="J21" s="303">
        <f>+$C$8/J13</f>
        <v>30.843612334801762</v>
      </c>
      <c r="K21" s="303">
        <f t="shared" si="18"/>
        <v>27.296296296296298</v>
      </c>
      <c r="L21" s="304">
        <f t="shared" si="18"/>
        <v>23.494966442953022</v>
      </c>
      <c r="M21" s="286"/>
      <c r="U21" s="305">
        <f t="shared" si="8"/>
        <v>166</v>
      </c>
      <c r="V21" s="306">
        <f t="shared" si="9"/>
        <v>-0.1711325301204818</v>
      </c>
      <c r="W21" s="306">
        <f t="shared" si="1"/>
        <v>-0.50224096385542172</v>
      </c>
      <c r="X21" s="307">
        <f t="shared" si="2"/>
        <v>-0.3407378976155061</v>
      </c>
      <c r="Y21" s="308">
        <f t="shared" si="0"/>
        <v>0.18546025851603232</v>
      </c>
      <c r="AA21" s="242">
        <f>+U21/$J$11</f>
        <v>36.76358244531432</v>
      </c>
      <c r="AB21" s="242">
        <f t="shared" si="4"/>
        <v>36.563876651982376</v>
      </c>
      <c r="AD21" s="242">
        <f t="shared" si="5"/>
        <v>32.91057405157683</v>
      </c>
      <c r="AE21" s="242">
        <f t="shared" si="6"/>
        <v>32.358674463937625</v>
      </c>
      <c r="AG21" s="223">
        <f t="shared" si="7"/>
        <v>1.0477179495946627E-2</v>
      </c>
    </row>
    <row r="22" spans="2:33" x14ac:dyDescent="0.25">
      <c r="B22" s="310" t="s">
        <v>210</v>
      </c>
      <c r="C22" s="310"/>
      <c r="U22" s="245">
        <f t="shared" si="8"/>
        <v>164</v>
      </c>
      <c r="V22" s="240">
        <f t="shared" si="9"/>
        <v>-0.16102439024390236</v>
      </c>
      <c r="W22" s="240">
        <f t="shared" si="1"/>
        <v>-0.49617073170731707</v>
      </c>
      <c r="X22" s="241">
        <f t="shared" si="2"/>
        <v>-0.32453423782136348</v>
      </c>
      <c r="Y22" s="223">
        <f t="shared" si="0"/>
        <v>0.17117760479897171</v>
      </c>
      <c r="AA22" s="242">
        <f t="shared" si="3"/>
        <v>36.320647717057525</v>
      </c>
      <c r="AB22" s="242">
        <f t="shared" si="4"/>
        <v>36.123348017621147</v>
      </c>
      <c r="AD22" s="242">
        <f t="shared" si="5"/>
        <v>32.514061111196391</v>
      </c>
      <c r="AE22" s="242">
        <f t="shared" si="6"/>
        <v>31.968810916179336</v>
      </c>
      <c r="AG22" s="223">
        <f t="shared" si="7"/>
        <v>1.0604949977604512E-2</v>
      </c>
    </row>
    <row r="23" spans="2:33" x14ac:dyDescent="0.25">
      <c r="B23" t="s">
        <v>211</v>
      </c>
      <c r="C23" s="311">
        <f>L11</f>
        <v>5.6624988810380881</v>
      </c>
      <c r="F23" s="329"/>
      <c r="G23" s="329"/>
      <c r="H23" s="329"/>
      <c r="I23" s="329"/>
      <c r="J23" s="329"/>
      <c r="K23" s="329"/>
      <c r="U23" s="245">
        <f t="shared" si="8"/>
        <v>162</v>
      </c>
      <c r="V23" s="240">
        <f t="shared" si="9"/>
        <v>-0.15066666666666662</v>
      </c>
      <c r="W23" s="240">
        <f t="shared" si="1"/>
        <v>-0.48995061728395062</v>
      </c>
      <c r="X23" s="241">
        <f t="shared" si="2"/>
        <v>-0.30751398478052705</v>
      </c>
      <c r="Y23" s="223">
        <f t="shared" si="0"/>
        <v>0.15689495108191109</v>
      </c>
      <c r="AA23" s="242">
        <f t="shared" si="3"/>
        <v>35.877712988800724</v>
      </c>
      <c r="AB23" s="242">
        <f t="shared" si="4"/>
        <v>35.682819383259911</v>
      </c>
      <c r="AD23" s="242">
        <f>+U23/$K$11</f>
        <v>32.117548170815944</v>
      </c>
      <c r="AE23" s="242">
        <f t="shared" si="6"/>
        <v>31.578947368421055</v>
      </c>
      <c r="AG23" s="223">
        <f t="shared" si="7"/>
        <v>1.073587528597E-2</v>
      </c>
    </row>
    <row r="24" spans="2:33" x14ac:dyDescent="0.25">
      <c r="B24" t="s">
        <v>212</v>
      </c>
      <c r="C24" s="312">
        <f>L21</f>
        <v>23.494966442953022</v>
      </c>
      <c r="F24" s="329"/>
      <c r="G24" s="329"/>
      <c r="H24" s="329"/>
      <c r="I24" s="329"/>
      <c r="J24" s="329"/>
      <c r="K24" s="329"/>
      <c r="U24" s="245">
        <f t="shared" si="8"/>
        <v>160</v>
      </c>
      <c r="V24" s="240">
        <f t="shared" si="9"/>
        <v>-0.1400499999999999</v>
      </c>
      <c r="W24" s="240">
        <f t="shared" si="1"/>
        <v>-0.48357499999999998</v>
      </c>
      <c r="X24" s="241">
        <f t="shared" si="2"/>
        <v>-0.28961381378276357</v>
      </c>
      <c r="Y24" s="223">
        <f t="shared" si="0"/>
        <v>0.14261229736485048</v>
      </c>
      <c r="AA24" s="242">
        <f t="shared" si="3"/>
        <v>35.434778260543929</v>
      </c>
      <c r="AB24" s="242">
        <f t="shared" si="4"/>
        <v>35.242290748898675</v>
      </c>
      <c r="AD24" s="242">
        <f t="shared" si="5"/>
        <v>31.721035230435501</v>
      </c>
      <c r="AE24" s="242">
        <f t="shared" si="6"/>
        <v>31.18908382066277</v>
      </c>
      <c r="AG24" s="223">
        <f t="shared" si="7"/>
        <v>1.0870073727044625E-2</v>
      </c>
    </row>
    <row r="25" spans="2:33" ht="15" customHeight="1" x14ac:dyDescent="0.25">
      <c r="B25" s="1" t="s">
        <v>210</v>
      </c>
      <c r="C25" s="314">
        <f>+C23*C24</f>
        <v>133.04022119324893</v>
      </c>
      <c r="F25" s="329"/>
      <c r="G25" s="329"/>
      <c r="H25" s="329"/>
      <c r="I25" s="329"/>
      <c r="J25" s="329"/>
      <c r="K25" s="329"/>
      <c r="U25" s="245">
        <f t="shared" si="8"/>
        <v>158</v>
      </c>
      <c r="V25" s="240">
        <f t="shared" si="9"/>
        <v>-0.12916455696202522</v>
      </c>
      <c r="W25" s="240">
        <f t="shared" si="1"/>
        <v>-0.47703797468354425</v>
      </c>
      <c r="X25" s="241">
        <f t="shared" si="2"/>
        <v>-0.27076367881972069</v>
      </c>
      <c r="Y25" s="223">
        <f t="shared" si="0"/>
        <v>0.12832964364778965</v>
      </c>
      <c r="AA25" s="242">
        <f t="shared" si="3"/>
        <v>34.991843532287128</v>
      </c>
      <c r="AB25" s="242">
        <f t="shared" si="4"/>
        <v>34.801762114537446</v>
      </c>
      <c r="AD25" s="242">
        <f t="shared" si="5"/>
        <v>31.324522290055057</v>
      </c>
      <c r="AE25" s="242">
        <f t="shared" si="6"/>
        <v>30.799220272904485</v>
      </c>
      <c r="AG25" s="223">
        <f t="shared" si="7"/>
        <v>1.1007669597007216E-2</v>
      </c>
    </row>
    <row r="26" spans="2:33" x14ac:dyDescent="0.25">
      <c r="B26" s="315" t="s">
        <v>180</v>
      </c>
      <c r="C26" s="316">
        <f>+C25/$C$8-1</f>
        <v>-4.9916295127837462E-2</v>
      </c>
      <c r="F26" s="329"/>
      <c r="G26" s="329"/>
      <c r="H26" s="329"/>
      <c r="I26" s="329"/>
      <c r="J26" s="329"/>
      <c r="K26" s="329"/>
      <c r="U26" s="245">
        <f t="shared" si="8"/>
        <v>156</v>
      </c>
      <c r="V26" s="240">
        <f>+IFERROR($U$1/U26-1,"n.a.")</f>
        <v>-0.11799999999999988</v>
      </c>
      <c r="W26" s="240">
        <f t="shared" si="1"/>
        <v>-0.47033333333333338</v>
      </c>
      <c r="X26" s="313">
        <f t="shared" si="2"/>
        <v>-0.25088589652728532</v>
      </c>
      <c r="Y26" s="223">
        <f t="shared" si="0"/>
        <v>0.11404698993072904</v>
      </c>
      <c r="AA26" s="242">
        <f t="shared" si="3"/>
        <v>34.548908804030326</v>
      </c>
      <c r="AB26" s="242">
        <f t="shared" si="4"/>
        <v>34.36123348017621</v>
      </c>
      <c r="AD26" s="242">
        <f t="shared" si="5"/>
        <v>30.92800934967461</v>
      </c>
      <c r="AE26" s="242">
        <f t="shared" si="6"/>
        <v>30.4093567251462</v>
      </c>
      <c r="AG26" s="223">
        <f t="shared" si="7"/>
        <v>1.1148793566199616E-2</v>
      </c>
    </row>
    <row r="27" spans="2:33" x14ac:dyDescent="0.25">
      <c r="B27" s="317" t="s">
        <v>213</v>
      </c>
      <c r="C27" s="318">
        <f>+C25/$C$8</f>
        <v>0.95008370487216254</v>
      </c>
      <c r="F27" s="329"/>
      <c r="G27" s="329"/>
      <c r="H27" s="329"/>
      <c r="I27" s="329"/>
      <c r="J27" s="329"/>
      <c r="K27" s="329"/>
      <c r="U27" s="245">
        <f t="shared" si="8"/>
        <v>154</v>
      </c>
      <c r="V27" s="240">
        <f t="shared" si="9"/>
        <v>-0.1065454545454545</v>
      </c>
      <c r="W27" s="240">
        <f t="shared" si="1"/>
        <v>-0.46345454545454545</v>
      </c>
      <c r="X27" s="313">
        <f t="shared" si="2"/>
        <v>-0.22989407610827767</v>
      </c>
      <c r="Y27" s="223">
        <f t="shared" si="0"/>
        <v>9.9764336213668425E-2</v>
      </c>
      <c r="AA27" s="242">
        <f t="shared" si="3"/>
        <v>34.105974075773531</v>
      </c>
      <c r="AB27" s="242">
        <f t="shared" si="4"/>
        <v>33.920704845814974</v>
      </c>
      <c r="AD27" s="242">
        <f t="shared" si="5"/>
        <v>30.531496409294167</v>
      </c>
      <c r="AE27" s="242">
        <f t="shared" si="6"/>
        <v>30.019493177387915</v>
      </c>
      <c r="AG27" s="223">
        <f t="shared" si="7"/>
        <v>1.1293583093033377E-2</v>
      </c>
    </row>
    <row r="28" spans="2:33" ht="15.75" thickBot="1" x14ac:dyDescent="0.3">
      <c r="B28" s="319" t="s">
        <v>215</v>
      </c>
      <c r="C28" s="320">
        <f>+RATE(3,0,-C8,C25,0,0)</f>
        <v>-1.6923556120798353E-2</v>
      </c>
      <c r="F28" s="329"/>
      <c r="H28" s="329"/>
      <c r="I28" s="329"/>
      <c r="J28" s="329"/>
      <c r="K28" s="329"/>
      <c r="U28" s="245">
        <f t="shared" si="8"/>
        <v>152</v>
      </c>
      <c r="V28" s="240">
        <f>+IFERROR($U$1/U28-1,"n.a.")</f>
        <v>-9.4789473684210424E-2</v>
      </c>
      <c r="W28" s="240">
        <f>+IFERROR($V$1/U28-1,"n.a.")</f>
        <v>-0.4563947368421053</v>
      </c>
      <c r="X28" s="241">
        <f t="shared" si="2"/>
        <v>-0.20769186415268384</v>
      </c>
      <c r="Y28" s="223">
        <f>+U28/$C$8-1</f>
        <v>8.5481682496607814E-2</v>
      </c>
      <c r="AA28" s="242">
        <f>+U28/$J$11</f>
        <v>33.66303934751673</v>
      </c>
      <c r="AB28" s="242">
        <f>+U28/$J$13</f>
        <v>33.480176211453745</v>
      </c>
      <c r="AD28" s="242">
        <f>+U28/$K$11</f>
        <v>30.134983468913724</v>
      </c>
      <c r="AE28" s="242">
        <f>+U28/$K$13</f>
        <v>29.62962962962963</v>
      </c>
      <c r="AG28" s="223">
        <f>+$AG$2/U28</f>
        <v>1.1442182870573289E-2</v>
      </c>
    </row>
    <row r="29" spans="2:33" x14ac:dyDescent="0.25">
      <c r="T29" s="292" t="s">
        <v>214</v>
      </c>
      <c r="U29" s="293">
        <f t="shared" si="8"/>
        <v>150</v>
      </c>
      <c r="V29" s="294">
        <f>+IFERROR($U$1/U29-1,"n.a.")</f>
        <v>-8.2719999999999905E-2</v>
      </c>
      <c r="W29" s="294">
        <f>+IFERROR($V$1/U29-1,"n.a.")</f>
        <v>-0.44914666666666669</v>
      </c>
      <c r="X29" s="295">
        <f t="shared" si="2"/>
        <v>-0.18417146589087433</v>
      </c>
      <c r="Y29" s="296">
        <f>+U29/$C$8-1</f>
        <v>7.1199028779547202E-2</v>
      </c>
      <c r="AA29" s="242">
        <f>+U29/$J$11</f>
        <v>33.220104619259928</v>
      </c>
      <c r="AB29" s="242">
        <f>+U29/$J$13</f>
        <v>33.039647577092509</v>
      </c>
      <c r="AD29" s="242">
        <f>+U29/$K$11</f>
        <v>29.738470528533281</v>
      </c>
      <c r="AE29" s="242">
        <f>+U29/$K$13</f>
        <v>29.239766081871345</v>
      </c>
      <c r="AG29" s="223">
        <f>+$AG$2/U29</f>
        <v>1.15947453088476E-2</v>
      </c>
    </row>
    <row r="30" spans="2:33" ht="15.75" thickBot="1" x14ac:dyDescent="0.3">
      <c r="B30" s="310" t="s">
        <v>216</v>
      </c>
      <c r="C30" s="310"/>
      <c r="U30" s="305">
        <f>+U29-2</f>
        <v>148</v>
      </c>
      <c r="V30" s="306">
        <f t="shared" si="9"/>
        <v>-7.0324324324324228E-2</v>
      </c>
      <c r="W30" s="306">
        <f t="shared" si="1"/>
        <v>-0.44170270270270273</v>
      </c>
      <c r="X30" s="307">
        <f t="shared" si="2"/>
        <v>-0.15921189500091759</v>
      </c>
      <c r="Y30" s="308">
        <f t="shared" si="0"/>
        <v>5.6916375062486591E-2</v>
      </c>
      <c r="AA30" s="242">
        <f t="shared" si="3"/>
        <v>32.777169891003133</v>
      </c>
      <c r="AB30" s="242">
        <f t="shared" si="4"/>
        <v>32.59911894273128</v>
      </c>
      <c r="AD30" s="242">
        <f t="shared" si="5"/>
        <v>29.341957588152837</v>
      </c>
      <c r="AE30" s="242">
        <f t="shared" si="6"/>
        <v>28.84990253411306</v>
      </c>
      <c r="AG30" s="223">
        <f t="shared" si="7"/>
        <v>1.175143105626446E-2</v>
      </c>
    </row>
    <row r="31" spans="2:33" ht="15.75" thickBot="1" x14ac:dyDescent="0.3">
      <c r="B31" t="s">
        <v>218</v>
      </c>
      <c r="C31" s="311">
        <f>P5</f>
        <v>5.04</v>
      </c>
      <c r="U31" s="245">
        <f t="shared" si="8"/>
        <v>146</v>
      </c>
      <c r="V31" s="240">
        <f t="shared" si="9"/>
        <v>-5.7589041095890359E-2</v>
      </c>
      <c r="W31" s="240">
        <f t="shared" si="1"/>
        <v>-0.43405479452054796</v>
      </c>
      <c r="X31" s="241">
        <f t="shared" si="2"/>
        <v>-0.13267689200277713</v>
      </c>
      <c r="Y31" s="223">
        <f t="shared" si="0"/>
        <v>4.2633721345425979E-2</v>
      </c>
      <c r="AA31" s="242">
        <f t="shared" si="3"/>
        <v>32.334235162746332</v>
      </c>
      <c r="AB31" s="242">
        <f t="shared" si="4"/>
        <v>32.158590308370044</v>
      </c>
      <c r="AD31" s="242">
        <f t="shared" si="5"/>
        <v>28.945444647772394</v>
      </c>
      <c r="AE31" s="242">
        <f t="shared" si="6"/>
        <v>28.460038986354775</v>
      </c>
      <c r="AG31" s="223">
        <f t="shared" si="7"/>
        <v>1.1912409563884521E-2</v>
      </c>
    </row>
    <row r="32" spans="2:33" x14ac:dyDescent="0.25">
      <c r="B32" t="s">
        <v>212</v>
      </c>
      <c r="C32" s="312">
        <f>Q5</f>
        <v>27.3</v>
      </c>
      <c r="T32" s="292" t="s">
        <v>217</v>
      </c>
      <c r="U32" s="293">
        <f t="shared" si="8"/>
        <v>144</v>
      </c>
      <c r="V32" s="294">
        <f t="shared" si="9"/>
        <v>-4.4499999999999873E-2</v>
      </c>
      <c r="W32" s="294">
        <f t="shared" si="1"/>
        <v>-0.42619444444444443</v>
      </c>
      <c r="X32" s="295">
        <f t="shared" si="2"/>
        <v>-0.10441243563840158</v>
      </c>
      <c r="Y32" s="296">
        <f t="shared" si="0"/>
        <v>2.8351067628365367E-2</v>
      </c>
      <c r="AA32" s="242">
        <f t="shared" si="3"/>
        <v>31.891300434489533</v>
      </c>
      <c r="AB32" s="242">
        <f t="shared" si="4"/>
        <v>31.718061674008812</v>
      </c>
      <c r="AD32" s="242">
        <f t="shared" si="5"/>
        <v>28.548931707391951</v>
      </c>
      <c r="AE32" s="242">
        <f t="shared" si="6"/>
        <v>28.070175438596493</v>
      </c>
      <c r="AG32" s="223">
        <f t="shared" si="7"/>
        <v>1.207785969671625E-2</v>
      </c>
    </row>
    <row r="33" spans="2:33" ht="15.75" thickBot="1" x14ac:dyDescent="0.3">
      <c r="B33" s="258" t="s">
        <v>219</v>
      </c>
      <c r="C33" s="324">
        <f>+C31*C32</f>
        <v>137.59200000000001</v>
      </c>
      <c r="U33" s="305">
        <f t="shared" si="8"/>
        <v>142</v>
      </c>
      <c r="V33" s="321">
        <f t="shared" si="9"/>
        <v>-3.1042253521126661E-2</v>
      </c>
      <c r="W33" s="321">
        <f t="shared" si="1"/>
        <v>-0.41811267605633806</v>
      </c>
      <c r="X33" s="307">
        <f t="shared" si="2"/>
        <v>-7.4243751263221483E-2</v>
      </c>
      <c r="Y33" s="308">
        <f t="shared" si="0"/>
        <v>1.4068413911304756E-2</v>
      </c>
      <c r="AA33" s="242">
        <f t="shared" si="3"/>
        <v>31.448365706232735</v>
      </c>
      <c r="AB33" s="242">
        <f t="shared" si="4"/>
        <v>31.277533039647576</v>
      </c>
      <c r="AD33" s="242">
        <f t="shared" si="5"/>
        <v>28.152418767011508</v>
      </c>
      <c r="AE33" s="242">
        <f t="shared" si="6"/>
        <v>27.680311890838208</v>
      </c>
      <c r="AG33" s="223">
        <f t="shared" si="7"/>
        <v>1.2247970396670001E-2</v>
      </c>
    </row>
    <row r="34" spans="2:33" ht="15.75" thickBot="1" x14ac:dyDescent="0.3">
      <c r="B34" s="319" t="s">
        <v>180</v>
      </c>
      <c r="C34" s="320">
        <f>+C33/$C$8-1</f>
        <v>-1.7410554881096774E-2</v>
      </c>
      <c r="U34" s="245">
        <f t="shared" si="8"/>
        <v>140</v>
      </c>
      <c r="V34" s="322">
        <f t="shared" si="9"/>
        <v>-1.7199999999999882E-2</v>
      </c>
      <c r="W34" s="322">
        <f t="shared" si="1"/>
        <v>-0.40980000000000005</v>
      </c>
      <c r="X34" s="323">
        <f t="shared" si="2"/>
        <v>-4.1971693509028504E-2</v>
      </c>
      <c r="Y34" s="223">
        <f t="shared" si="0"/>
        <v>-2.1423980575596691E-4</v>
      </c>
      <c r="AA34" s="242">
        <f t="shared" si="3"/>
        <v>31.005430977975937</v>
      </c>
      <c r="AB34" s="242">
        <f t="shared" si="4"/>
        <v>30.837004405286343</v>
      </c>
      <c r="AD34" s="242">
        <f t="shared" si="5"/>
        <v>27.755905826631061</v>
      </c>
      <c r="AE34" s="242">
        <f t="shared" si="6"/>
        <v>27.290448343079923</v>
      </c>
      <c r="AG34" s="223">
        <f t="shared" si="7"/>
        <v>1.2422941402336714E-2</v>
      </c>
    </row>
    <row r="35" spans="2:33" x14ac:dyDescent="0.25">
      <c r="T35" s="292" t="s">
        <v>220</v>
      </c>
      <c r="U35" s="293">
        <f t="shared" si="8"/>
        <v>138</v>
      </c>
      <c r="V35" s="325">
        <f t="shared" si="9"/>
        <v>-2.9565217391303023E-3</v>
      </c>
      <c r="W35" s="325">
        <f t="shared" si="1"/>
        <v>-0.40124637681159425</v>
      </c>
      <c r="X35" s="326">
        <f t="shared" si="2"/>
        <v>-7.3683450119190501E-3</v>
      </c>
      <c r="Y35" s="296">
        <f t="shared" si="0"/>
        <v>-1.4496893522816579E-2</v>
      </c>
      <c r="AA35" s="242">
        <f t="shared" si="3"/>
        <v>30.562496249719135</v>
      </c>
      <c r="AB35" s="242">
        <f t="shared" si="4"/>
        <v>30.396475770925111</v>
      </c>
      <c r="AD35" s="242">
        <f t="shared" si="5"/>
        <v>27.359392886250617</v>
      </c>
      <c r="AE35" s="242">
        <f t="shared" si="6"/>
        <v>26.900584795321638</v>
      </c>
      <c r="AG35" s="223">
        <f t="shared" si="7"/>
        <v>1.2602984031356087E-2</v>
      </c>
    </row>
    <row r="36" spans="2:33" ht="15.75" thickBot="1" x14ac:dyDescent="0.3">
      <c r="B36" s="327" t="s">
        <v>221</v>
      </c>
      <c r="C36" s="328"/>
      <c r="U36" s="305">
        <f t="shared" si="8"/>
        <v>136</v>
      </c>
      <c r="V36" s="306">
        <f t="shared" si="9"/>
        <v>1.1705882352941233E-2</v>
      </c>
      <c r="W36" s="306">
        <f t="shared" si="1"/>
        <v>-0.39244117647058818</v>
      </c>
      <c r="X36" s="307">
        <f t="shared" si="2"/>
        <v>2.9828374428539455E-2</v>
      </c>
      <c r="Y36" s="308">
        <f t="shared" si="0"/>
        <v>-2.877954723987719E-2</v>
      </c>
      <c r="AA36" s="242">
        <f t="shared" si="3"/>
        <v>30.119561521462337</v>
      </c>
      <c r="AB36" s="242">
        <f t="shared" si="4"/>
        <v>29.955947136563875</v>
      </c>
      <c r="AD36" s="242">
        <f t="shared" si="5"/>
        <v>26.962879945870174</v>
      </c>
      <c r="AE36" s="242">
        <f t="shared" si="6"/>
        <v>26.510721247563353</v>
      </c>
      <c r="AG36" s="223">
        <f t="shared" si="7"/>
        <v>1.2788322031817206E-2</v>
      </c>
    </row>
    <row r="37" spans="2:33" x14ac:dyDescent="0.25">
      <c r="B37" t="s">
        <v>222</v>
      </c>
      <c r="C37" s="311">
        <f>P6</f>
        <v>4.54</v>
      </c>
      <c r="U37" s="245">
        <f t="shared" si="8"/>
        <v>134</v>
      </c>
      <c r="V37" s="240">
        <f t="shared" si="9"/>
        <v>2.6805970149253788E-2</v>
      </c>
      <c r="W37" s="240">
        <f t="shared" si="1"/>
        <v>-0.38337313432835818</v>
      </c>
      <c r="X37" s="241">
        <f t="shared" si="2"/>
        <v>6.9921357938176595E-2</v>
      </c>
      <c r="Y37" s="223">
        <f t="shared" si="0"/>
        <v>-4.3062200956937802E-2</v>
      </c>
      <c r="AA37" s="242">
        <f t="shared" si="3"/>
        <v>29.676626793205539</v>
      </c>
      <c r="AB37" s="242">
        <f t="shared" si="4"/>
        <v>29.515418502202643</v>
      </c>
      <c r="AD37" s="242">
        <f t="shared" si="5"/>
        <v>26.566367005489731</v>
      </c>
      <c r="AE37" s="242">
        <f t="shared" si="6"/>
        <v>26.120857699805068</v>
      </c>
      <c r="AG37" s="223">
        <f t="shared" si="7"/>
        <v>1.2979192509904031E-2</v>
      </c>
    </row>
    <row r="38" spans="2:33" x14ac:dyDescent="0.25">
      <c r="B38" t="s">
        <v>212</v>
      </c>
      <c r="C38" s="312">
        <f>Q6</f>
        <v>18.2</v>
      </c>
      <c r="U38" s="245">
        <f t="shared" si="8"/>
        <v>132</v>
      </c>
      <c r="V38" s="240">
        <f t="shared" si="9"/>
        <v>4.2363636363636381E-2</v>
      </c>
      <c r="W38" s="240">
        <f t="shared" si="1"/>
        <v>-0.37403030303030305</v>
      </c>
      <c r="X38" s="241">
        <f t="shared" si="2"/>
        <v>0.11326257797942157</v>
      </c>
      <c r="Y38" s="223">
        <f t="shared" si="0"/>
        <v>-5.7344854673998413E-2</v>
      </c>
      <c r="AA38" s="242">
        <f t="shared" si="3"/>
        <v>29.233692064948738</v>
      </c>
      <c r="AB38" s="242">
        <f t="shared" si="4"/>
        <v>29.07488986784141</v>
      </c>
      <c r="AD38" s="242">
        <f t="shared" si="5"/>
        <v>26.169854065109288</v>
      </c>
      <c r="AE38" s="242">
        <f t="shared" si="6"/>
        <v>25.730994152046783</v>
      </c>
      <c r="AG38" s="223">
        <f t="shared" si="7"/>
        <v>1.3175846941872273E-2</v>
      </c>
    </row>
    <row r="39" spans="2:33" x14ac:dyDescent="0.25">
      <c r="B39" s="258" t="s">
        <v>223</v>
      </c>
      <c r="C39" s="324">
        <f>+C37*C38</f>
        <v>82.628</v>
      </c>
      <c r="U39" s="245">
        <f t="shared" si="8"/>
        <v>130</v>
      </c>
      <c r="V39" s="240">
        <f t="shared" si="9"/>
        <v>5.8400000000000007E-2</v>
      </c>
      <c r="W39" s="240">
        <f t="shared" si="1"/>
        <v>-0.36439999999999995</v>
      </c>
      <c r="X39" s="241">
        <f t="shared" si="2"/>
        <v>0.16026344676180027</v>
      </c>
      <c r="Y39" s="223">
        <f t="shared" si="0"/>
        <v>-7.1627508391059025E-2</v>
      </c>
      <c r="AA39" s="242">
        <f t="shared" si="3"/>
        <v>28.790757336691939</v>
      </c>
      <c r="AB39" s="242">
        <f t="shared" si="4"/>
        <v>28.634361233480178</v>
      </c>
      <c r="AD39" s="242">
        <f t="shared" si="5"/>
        <v>25.773341124728844</v>
      </c>
      <c r="AE39" s="242">
        <f t="shared" si="6"/>
        <v>25.341130604288498</v>
      </c>
      <c r="AG39" s="223">
        <f t="shared" si="7"/>
        <v>1.3378552279439539E-2</v>
      </c>
    </row>
    <row r="40" spans="2:33" x14ac:dyDescent="0.25">
      <c r="B40" s="319" t="s">
        <v>180</v>
      </c>
      <c r="C40" s="320">
        <f>+C39/$C$8-1</f>
        <v>-0.40992644433335712</v>
      </c>
      <c r="U40" s="245">
        <f t="shared" si="8"/>
        <v>128</v>
      </c>
      <c r="V40" s="240">
        <f t="shared" si="9"/>
        <v>7.4937500000000101E-2</v>
      </c>
      <c r="W40" s="240">
        <f t="shared" si="1"/>
        <v>-0.35446875</v>
      </c>
      <c r="X40" s="241">
        <f t="shared" si="2"/>
        <v>0.21140791677686707</v>
      </c>
      <c r="Y40" s="223">
        <f t="shared" si="0"/>
        <v>-8.5910162108119748E-2</v>
      </c>
      <c r="AA40" s="242">
        <f t="shared" si="3"/>
        <v>28.347822608435141</v>
      </c>
      <c r="AB40" s="242">
        <f t="shared" si="4"/>
        <v>28.193832599118942</v>
      </c>
      <c r="AD40" s="242">
        <f t="shared" si="5"/>
        <v>25.376828184348401</v>
      </c>
      <c r="AE40" s="242">
        <f t="shared" si="6"/>
        <v>24.951267056530217</v>
      </c>
      <c r="AG40" s="223">
        <f t="shared" si="7"/>
        <v>1.3587592158805782E-2</v>
      </c>
    </row>
    <row r="41" spans="2:33" x14ac:dyDescent="0.25">
      <c r="U41" s="245">
        <f t="shared" si="8"/>
        <v>126</v>
      </c>
      <c r="V41" s="240">
        <f t="shared" si="9"/>
        <v>9.2000000000000082E-2</v>
      </c>
      <c r="W41" s="240">
        <f t="shared" si="1"/>
        <v>-0.34422222222222221</v>
      </c>
      <c r="X41" s="241">
        <f t="shared" si="2"/>
        <v>0.26726920593931591</v>
      </c>
      <c r="Y41" s="223">
        <f t="shared" si="0"/>
        <v>-0.10019281582518036</v>
      </c>
      <c r="AA41" s="242">
        <f t="shared" si="3"/>
        <v>27.904887880178343</v>
      </c>
      <c r="AB41" s="242">
        <f t="shared" si="4"/>
        <v>27.753303964757709</v>
      </c>
      <c r="AD41" s="242">
        <f t="shared" si="5"/>
        <v>24.980315243967954</v>
      </c>
      <c r="AE41" s="242">
        <f t="shared" si="6"/>
        <v>24.561403508771932</v>
      </c>
      <c r="AG41" s="223">
        <f t="shared" si="7"/>
        <v>1.3803268224818572E-2</v>
      </c>
    </row>
    <row r="42" spans="2:33" x14ac:dyDescent="0.25">
      <c r="B42" s="330" t="s">
        <v>224</v>
      </c>
      <c r="C42" s="331">
        <v>0.35830000000000001</v>
      </c>
      <c r="U42" s="245">
        <f t="shared" si="8"/>
        <v>124</v>
      </c>
      <c r="V42" s="240">
        <f t="shared" si="9"/>
        <v>0.10961290322580663</v>
      </c>
      <c r="W42" s="240">
        <f t="shared" si="1"/>
        <v>-0.33364516129032262</v>
      </c>
      <c r="X42" s="241">
        <f t="shared" si="2"/>
        <v>0.32853137387605197</v>
      </c>
      <c r="Y42" s="223">
        <f t="shared" si="0"/>
        <v>-0.11447546954224097</v>
      </c>
      <c r="AA42" s="242">
        <f t="shared" si="3"/>
        <v>27.461953151921541</v>
      </c>
      <c r="AB42" s="242">
        <f t="shared" si="4"/>
        <v>27.312775330396477</v>
      </c>
      <c r="AD42" s="242">
        <f t="shared" si="5"/>
        <v>24.583802303587511</v>
      </c>
      <c r="AE42" s="242">
        <f t="shared" si="6"/>
        <v>24.171539961013647</v>
      </c>
      <c r="AG42" s="223">
        <f t="shared" si="7"/>
        <v>1.4025901583283387E-2</v>
      </c>
    </row>
    <row r="43" spans="2:33" x14ac:dyDescent="0.25">
      <c r="B43" s="319" t="s">
        <v>140</v>
      </c>
      <c r="C43" s="332">
        <f>DCF!M15</f>
        <v>0.1009</v>
      </c>
      <c r="U43" s="245">
        <f t="shared" si="8"/>
        <v>122</v>
      </c>
      <c r="V43" s="240">
        <f t="shared" si="9"/>
        <v>0.12780327868852459</v>
      </c>
      <c r="W43" s="240">
        <f t="shared" si="1"/>
        <v>-0.32272131147540983</v>
      </c>
      <c r="X43" s="241">
        <f t="shared" si="2"/>
        <v>0.39601747434725187</v>
      </c>
      <c r="Y43" s="223">
        <f t="shared" si="0"/>
        <v>-0.12875812325930158</v>
      </c>
      <c r="AA43" s="242">
        <f t="shared" si="3"/>
        <v>27.019018423664743</v>
      </c>
      <c r="AB43" s="242">
        <f t="shared" si="4"/>
        <v>26.872246696035241</v>
      </c>
      <c r="AD43" s="242">
        <f t="shared" si="5"/>
        <v>24.187289363207068</v>
      </c>
      <c r="AE43" s="242">
        <f t="shared" si="6"/>
        <v>23.781676413255362</v>
      </c>
      <c r="AG43" s="223">
        <f t="shared" si="7"/>
        <v>1.4255834396124099E-2</v>
      </c>
    </row>
    <row r="44" spans="2:33" x14ac:dyDescent="0.25">
      <c r="U44" s="245">
        <f t="shared" si="8"/>
        <v>120</v>
      </c>
      <c r="V44" s="240">
        <f t="shared" si="9"/>
        <v>0.14660000000000006</v>
      </c>
      <c r="W44" s="240">
        <f t="shared" si="1"/>
        <v>-0.31143333333333334</v>
      </c>
      <c r="X44" s="241">
        <f t="shared" si="2"/>
        <v>0.47072674729744213</v>
      </c>
      <c r="Y44" s="223">
        <f t="shared" si="0"/>
        <v>-0.14304077697636219</v>
      </c>
      <c r="AA44" s="242">
        <f t="shared" si="3"/>
        <v>26.576083695407945</v>
      </c>
      <c r="AB44" s="242">
        <f t="shared" si="4"/>
        <v>26.431718061674008</v>
      </c>
      <c r="AD44" s="242">
        <f t="shared" si="5"/>
        <v>23.790776422826625</v>
      </c>
      <c r="AE44" s="242">
        <f t="shared" si="6"/>
        <v>23.391812865497077</v>
      </c>
      <c r="AG44" s="223">
        <f t="shared" si="7"/>
        <v>1.4493431636059501E-2</v>
      </c>
    </row>
    <row r="45" spans="2:33" x14ac:dyDescent="0.25">
      <c r="U45" s="245">
        <f t="shared" si="8"/>
        <v>118</v>
      </c>
      <c r="V45" s="240">
        <f t="shared" si="9"/>
        <v>0.16603389830508486</v>
      </c>
      <c r="W45" s="240">
        <f t="shared" si="1"/>
        <v>-0.29976271186440673</v>
      </c>
      <c r="X45" s="241">
        <f t="shared" si="2"/>
        <v>0.55388442836141627</v>
      </c>
      <c r="Y45" s="223">
        <f t="shared" si="0"/>
        <v>-0.15732343069342281</v>
      </c>
      <c r="AA45" s="242">
        <f t="shared" si="3"/>
        <v>26.133148967151147</v>
      </c>
      <c r="AB45" s="242">
        <f t="shared" si="4"/>
        <v>25.991189427312776</v>
      </c>
      <c r="AD45" s="242">
        <f t="shared" si="5"/>
        <v>23.394263482446181</v>
      </c>
      <c r="AE45" s="242">
        <f t="shared" si="6"/>
        <v>23.001949317738791</v>
      </c>
      <c r="AG45" s="223">
        <f t="shared" si="7"/>
        <v>1.4739083019721527E-2</v>
      </c>
    </row>
    <row r="46" spans="2:33" x14ac:dyDescent="0.25">
      <c r="U46" s="245">
        <f t="shared" si="8"/>
        <v>116</v>
      </c>
      <c r="V46" s="240">
        <f t="shared" si="9"/>
        <v>0.18613793103448284</v>
      </c>
      <c r="W46" s="240">
        <f t="shared" si="1"/>
        <v>-0.28768965517241374</v>
      </c>
      <c r="X46" s="241">
        <f t="shared" si="2"/>
        <v>0.64700946901594192</v>
      </c>
      <c r="Y46" s="223">
        <f t="shared" si="0"/>
        <v>-0.17160608441048353</v>
      </c>
      <c r="AA46" s="242">
        <f t="shared" si="3"/>
        <v>25.690214238894345</v>
      </c>
      <c r="AB46" s="242">
        <f t="shared" si="4"/>
        <v>25.550660792951543</v>
      </c>
      <c r="AD46" s="242">
        <f t="shared" si="5"/>
        <v>22.997750542065738</v>
      </c>
      <c r="AE46" s="242">
        <f t="shared" si="6"/>
        <v>22.612085769980506</v>
      </c>
      <c r="AG46" s="223">
        <f t="shared" si="7"/>
        <v>1.4993205140751208E-2</v>
      </c>
    </row>
    <row r="47" spans="2:33" x14ac:dyDescent="0.25">
      <c r="U47" s="245">
        <f t="shared" si="8"/>
        <v>114</v>
      </c>
      <c r="V47" s="240">
        <f t="shared" si="9"/>
        <v>0.20694736842105277</v>
      </c>
      <c r="W47" s="240">
        <f t="shared" si="1"/>
        <v>-0.27519298245614032</v>
      </c>
      <c r="X47" s="241">
        <f t="shared" si="2"/>
        <v>0.75200816014280303</v>
      </c>
      <c r="Y47" s="223">
        <f t="shared" si="0"/>
        <v>-0.18588873812754414</v>
      </c>
      <c r="AA47" s="242">
        <f t="shared" si="3"/>
        <v>25.247279510637547</v>
      </c>
      <c r="AB47" s="242">
        <f t="shared" si="4"/>
        <v>25.110132158590307</v>
      </c>
      <c r="AD47" s="242">
        <f t="shared" si="5"/>
        <v>22.601237601685295</v>
      </c>
      <c r="AE47" s="242">
        <f t="shared" si="6"/>
        <v>22.222222222222221</v>
      </c>
      <c r="AG47" s="223">
        <f t="shared" si="7"/>
        <v>1.5256243827431053E-2</v>
      </c>
    </row>
    <row r="48" spans="2:33" x14ac:dyDescent="0.25">
      <c r="U48" s="245">
        <f t="shared" si="8"/>
        <v>112</v>
      </c>
      <c r="V48" s="240">
        <f t="shared" si="9"/>
        <v>0.22850000000000015</v>
      </c>
      <c r="W48" s="240">
        <f t="shared" si="1"/>
        <v>-0.26224999999999998</v>
      </c>
      <c r="X48" s="241">
        <f t="shared" si="2"/>
        <v>0.87130600571973371</v>
      </c>
      <c r="Y48" s="223">
        <f t="shared" si="0"/>
        <v>-0.20017139184460475</v>
      </c>
      <c r="AA48" s="242">
        <f t="shared" si="3"/>
        <v>24.804344782380749</v>
      </c>
      <c r="AB48" s="242">
        <f t="shared" si="4"/>
        <v>24.669603524229075</v>
      </c>
      <c r="AD48" s="242">
        <f t="shared" si="5"/>
        <v>22.204724661304851</v>
      </c>
      <c r="AE48" s="242">
        <f t="shared" si="6"/>
        <v>21.832358674463936</v>
      </c>
      <c r="AG48" s="223">
        <f t="shared" si="7"/>
        <v>1.5528676752920894E-2</v>
      </c>
    </row>
  </sheetData>
  <mergeCells count="10">
    <mergeCell ref="P9:S9"/>
    <mergeCell ref="P10:R10"/>
    <mergeCell ref="P11:R11"/>
    <mergeCell ref="P12:R12"/>
    <mergeCell ref="AD2:AE2"/>
    <mergeCell ref="B7:C7"/>
    <mergeCell ref="G2:L2"/>
    <mergeCell ref="P2:S2"/>
    <mergeCell ref="U2:Y2"/>
    <mergeCell ref="AA2:AB2"/>
  </mergeCells>
  <conditionalFormatting sqref="Y4:Y4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62B4-C6BF-4CEC-A191-B12373C09270}">
  <dimension ref="A2:AC114"/>
  <sheetViews>
    <sheetView showGridLines="0" zoomScale="70" zoomScaleNormal="70" workbookViewId="0">
      <pane xSplit="3" ySplit="9" topLeftCell="E10" activePane="bottomRight" state="frozen"/>
      <selection pane="topRight" activeCell="D1" sqref="D1"/>
      <selection pane="bottomLeft" activeCell="A10" sqref="A10"/>
      <selection pane="bottomRight" activeCell="X14" sqref="X14:AC14"/>
    </sheetView>
  </sheetViews>
  <sheetFormatPr defaultColWidth="12" defaultRowHeight="15.75" outlineLevelRow="1" x14ac:dyDescent="0.25"/>
  <cols>
    <col min="1" max="1" width="4" style="21" customWidth="1"/>
    <col min="2" max="2" width="12" style="24" customWidth="1"/>
    <col min="3" max="3" width="23.42578125" style="24" customWidth="1"/>
    <col min="4" max="5" width="10.28515625" style="24" customWidth="1"/>
    <col min="6" max="6" width="11.28515625" style="24" customWidth="1"/>
    <col min="7" max="7" width="10.85546875" style="24" customWidth="1"/>
    <col min="8" max="9" width="10.28515625" style="24" customWidth="1"/>
    <col min="10" max="10" width="11.85546875" style="24" customWidth="1"/>
    <col min="11" max="13" width="10.28515625" style="24" customWidth="1"/>
    <col min="14" max="14" width="12.7109375" style="24" customWidth="1"/>
    <col min="15" max="19" width="10.28515625" style="24" customWidth="1"/>
    <col min="20" max="20" width="11" style="24" customWidth="1"/>
    <col min="21" max="22" width="11.85546875" style="24" customWidth="1"/>
    <col min="23" max="24" width="10.28515625" style="24" customWidth="1"/>
    <col min="25" max="25" width="11.85546875" style="24" bestFit="1" customWidth="1"/>
    <col min="26" max="26" width="13.140625" style="24" bestFit="1" customWidth="1"/>
    <col min="27" max="29" width="10.28515625" style="24" customWidth="1"/>
    <col min="30" max="16384" width="12" style="24"/>
  </cols>
  <sheetData>
    <row r="2" spans="1:29" s="19" customFormat="1" ht="21" x14ac:dyDescent="0.35">
      <c r="A2" s="17"/>
      <c r="B2" s="18"/>
      <c r="F2" s="20"/>
      <c r="R2" s="20"/>
      <c r="U2" s="20"/>
    </row>
    <row r="4" spans="1:29" x14ac:dyDescent="0.25">
      <c r="B4" s="22" t="s">
        <v>11</v>
      </c>
      <c r="C4" s="23">
        <v>45450</v>
      </c>
      <c r="F4" s="25"/>
    </row>
    <row r="5" spans="1:29" x14ac:dyDescent="0.25">
      <c r="B5" s="22" t="s">
        <v>12</v>
      </c>
      <c r="C5" s="26" t="s">
        <v>13</v>
      </c>
    </row>
    <row r="7" spans="1:29" ht="18" x14ac:dyDescent="0.25">
      <c r="B7" s="27">
        <f ca="1">B7:O23</f>
        <v>0</v>
      </c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30" t="s">
        <v>285</v>
      </c>
      <c r="Y7" s="30"/>
      <c r="Z7" s="30"/>
      <c r="AA7" s="30"/>
      <c r="AB7" s="30"/>
      <c r="AC7" s="30"/>
    </row>
    <row r="8" spans="1:29" ht="18" x14ac:dyDescent="0.25">
      <c r="B8" s="27"/>
      <c r="C8" s="27"/>
      <c r="D8" s="29" t="s">
        <v>14</v>
      </c>
      <c r="E8" s="29" t="s">
        <v>15</v>
      </c>
      <c r="F8" s="29" t="s">
        <v>16</v>
      </c>
      <c r="G8" s="29" t="s">
        <v>17</v>
      </c>
      <c r="H8" s="29"/>
      <c r="I8" s="30" t="s">
        <v>9</v>
      </c>
      <c r="J8" s="30"/>
      <c r="K8" s="30"/>
      <c r="L8" s="30" t="s">
        <v>18</v>
      </c>
      <c r="M8" s="30"/>
      <c r="N8" s="30" t="s">
        <v>19</v>
      </c>
      <c r="O8" s="30"/>
      <c r="P8" s="29"/>
      <c r="Q8" s="30" t="s">
        <v>20</v>
      </c>
      <c r="R8" s="30"/>
      <c r="S8" s="30" t="s">
        <v>21</v>
      </c>
      <c r="T8" s="30"/>
      <c r="U8" s="30" t="s">
        <v>22</v>
      </c>
      <c r="V8" s="30"/>
      <c r="W8" s="29"/>
      <c r="X8" s="30" t="s">
        <v>23</v>
      </c>
      <c r="Y8" s="30"/>
      <c r="Z8" s="30" t="s">
        <v>24</v>
      </c>
      <c r="AA8" s="30"/>
      <c r="AB8" s="30" t="s">
        <v>25</v>
      </c>
      <c r="AC8" s="30"/>
    </row>
    <row r="9" spans="1:29" ht="15.75" customHeight="1" x14ac:dyDescent="0.25">
      <c r="B9" s="31" t="s">
        <v>26</v>
      </c>
      <c r="C9" s="31" t="s">
        <v>27</v>
      </c>
      <c r="D9" s="32" t="s">
        <v>28</v>
      </c>
      <c r="E9" s="32" t="s">
        <v>29</v>
      </c>
      <c r="F9" s="32" t="s">
        <v>30</v>
      </c>
      <c r="G9" s="32" t="s">
        <v>31</v>
      </c>
      <c r="H9" s="29"/>
      <c r="I9" s="33" t="s">
        <v>32</v>
      </c>
      <c r="J9" s="33" t="s">
        <v>33</v>
      </c>
      <c r="K9" s="33" t="s">
        <v>34</v>
      </c>
      <c r="L9" s="33" t="s">
        <v>35</v>
      </c>
      <c r="M9" s="33" t="s">
        <v>36</v>
      </c>
      <c r="N9" s="33" t="str">
        <f>L9</f>
        <v>'22</v>
      </c>
      <c r="O9" s="33" t="str">
        <f>M9</f>
        <v>'23</v>
      </c>
      <c r="P9" s="32"/>
      <c r="Q9" s="33" t="s">
        <v>37</v>
      </c>
      <c r="R9" s="33" t="s">
        <v>38</v>
      </c>
      <c r="S9" s="33" t="s">
        <v>35</v>
      </c>
      <c r="T9" s="33" t="s">
        <v>36</v>
      </c>
      <c r="U9" s="33" t="str">
        <f>S9</f>
        <v>'22</v>
      </c>
      <c r="V9" s="33" t="str">
        <f>T9</f>
        <v>'23</v>
      </c>
      <c r="W9" s="33"/>
      <c r="X9" s="33" t="s">
        <v>283</v>
      </c>
      <c r="Y9" s="33" t="s">
        <v>284</v>
      </c>
      <c r="Z9" s="33" t="str">
        <f>X9</f>
        <v>‘24</v>
      </c>
      <c r="AA9" s="33" t="str">
        <f>Y9</f>
        <v>’25</v>
      </c>
      <c r="AB9" s="33" t="str">
        <f>Z9</f>
        <v>‘24</v>
      </c>
      <c r="AC9" s="33" t="str">
        <f>AA9</f>
        <v>’25</v>
      </c>
    </row>
    <row r="10" spans="1:29" ht="5.25" customHeight="1" x14ac:dyDescent="0.25">
      <c r="B10" s="34"/>
      <c r="C10" s="34"/>
      <c r="D10" s="35"/>
      <c r="E10" s="35"/>
      <c r="F10" s="35"/>
      <c r="G10" s="35"/>
      <c r="I10" s="35"/>
      <c r="J10" s="35"/>
      <c r="K10" s="35"/>
      <c r="L10" s="35"/>
      <c r="M10" s="35"/>
      <c r="N10" s="35"/>
      <c r="O10" s="35"/>
      <c r="P10" s="35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</row>
    <row r="11" spans="1:29" ht="15.75" customHeight="1" x14ac:dyDescent="0.25">
      <c r="B11" s="37" t="str">
        <f>B39</f>
        <v>ABNB-US</v>
      </c>
      <c r="C11" s="38" t="str">
        <f>VLOOKUP($B11,$B$39:$Q$59,C$35,0)</f>
        <v>Airbnb, Inc. Class A</v>
      </c>
      <c r="D11" s="39">
        <f>VLOOKUP($B11,$B$39:$Q$49,D$35,0)</f>
        <v>140.03</v>
      </c>
      <c r="E11" s="39">
        <f>VLOOKUP($B11,$B$39:$Q$49,E$35,0)</f>
        <v>681.94364599999994</v>
      </c>
      <c r="F11" s="39">
        <f>VLOOKUP($B11,$B$39:$Q$49,F$35,0)</f>
        <v>95492.568749379992</v>
      </c>
      <c r="G11" s="39">
        <f>VLOOKUP($B11,$B$39:$Q$49,G$35,0)</f>
        <v>86654.568749379992</v>
      </c>
      <c r="H11" s="39"/>
      <c r="I11" s="39">
        <f>VLOOKUP($B11,$B$39:$Q$49,K$35,0)</f>
        <v>5991.76</v>
      </c>
      <c r="J11" s="39">
        <f>VLOOKUP($B11,$B$39:$Q$49,L$35,0)</f>
        <v>8399</v>
      </c>
      <c r="K11" s="39">
        <f>VLOOKUP($B11,$B$39:$Q$49,M$35,0)</f>
        <v>9917</v>
      </c>
      <c r="L11" s="39">
        <f>VLOOKUP($B11,$B$39:$Q$49,N$35,0)</f>
        <v>1968.3</v>
      </c>
      <c r="M11" s="39">
        <f>VLOOKUP($B11,$B$39:$Q$49,O$35,0)</f>
        <v>1565</v>
      </c>
      <c r="N11" s="39">
        <f>INDEX($P$39:$P$49,MATCH($B11,$B$39:$B$49,0))</f>
        <v>1893</v>
      </c>
      <c r="O11" s="39">
        <f>INDEX($Q$39:$Q$49,MATCH($B11,$B$39:$B$49,0))</f>
        <v>4792</v>
      </c>
      <c r="P11" s="40"/>
      <c r="Q11" s="40">
        <f>J11/I11-1</f>
        <v>0.40175841488978192</v>
      </c>
      <c r="R11" s="40">
        <f>K11/J11-1</f>
        <v>0.18073580188117644</v>
      </c>
      <c r="S11" s="40">
        <f>L11/J11</f>
        <v>0.23434932730086916</v>
      </c>
      <c r="T11" s="40">
        <f>M11/K11</f>
        <v>0.15780982151860443</v>
      </c>
      <c r="U11" s="41">
        <f>N11/J11</f>
        <v>0.22538397428265269</v>
      </c>
      <c r="V11" s="41">
        <f>O11/K11</f>
        <v>0.48321064838156702</v>
      </c>
      <c r="W11" s="40"/>
      <c r="X11" s="42" cm="1">
        <f t="array" ref="X11">_xll.FDS(B39,"FE_VALUATION(FFEV_SALES,MEAN,ANN,+1,NOW,,,'')")</f>
        <v>7.4047869999999998</v>
      </c>
      <c r="Y11" s="42" cm="1">
        <f t="array" ref="Y11">_xll.FDS(B39,"FE_VALUATION(FFEV_SALES,MEAN,ANN,+2,NOW,,,'')")</f>
        <v>6.6308189999999998</v>
      </c>
      <c r="Z11" s="42" cm="1">
        <f t="array" ref="Z11">_xll.FDS(B39,"FE_VALUATION(FFEV_EBITDA,MEAN,ANN,+1,NOW,,,'')")</f>
        <v>20.391556000000001</v>
      </c>
      <c r="AA11" s="42" cm="1">
        <f t="array" ref="AA11">_xll.FDS(B39,"FE_VALUATION(FFEV_EBITDA,MEAN,ANN,+2,NOW,,,'')")</f>
        <v>17.706607999999999</v>
      </c>
      <c r="AB11" s="42" cm="1">
        <f t="array" ref="AB11">_xll.FDS(B39,"FE_VALUATION(PE,MEAN,ANN,+1,NOW,,,'')")</f>
        <v>30.868245999999999</v>
      </c>
      <c r="AC11" s="42" cm="1">
        <f t="array" ref="AC11">_xll.FDS(B39,"FE_VALUATION(PE,MEAN,ANN,+2,NOW,,,'')")</f>
        <v>27.300552</v>
      </c>
    </row>
    <row r="12" spans="1:29" ht="4.5" customHeight="1" x14ac:dyDescent="0.25">
      <c r="B12" s="43"/>
      <c r="C12" s="44"/>
      <c r="D12" s="45"/>
      <c r="E12" s="46"/>
      <c r="F12" s="46"/>
      <c r="G12" s="46"/>
      <c r="I12" s="46"/>
      <c r="J12" s="46"/>
      <c r="K12" s="46"/>
      <c r="L12" s="46"/>
      <c r="M12" s="46"/>
      <c r="N12" s="46"/>
      <c r="O12" s="46"/>
      <c r="P12" s="47"/>
      <c r="Q12" s="40"/>
      <c r="R12" s="40"/>
      <c r="S12" s="40"/>
      <c r="T12" s="40"/>
      <c r="U12" s="41"/>
      <c r="V12" s="41"/>
      <c r="W12" s="47"/>
      <c r="X12" s="42"/>
      <c r="Y12" s="42"/>
      <c r="Z12" s="48"/>
      <c r="AA12" s="48"/>
      <c r="AB12" s="48"/>
      <c r="AC12" s="48"/>
    </row>
    <row r="13" spans="1:29" ht="15.75" customHeight="1" x14ac:dyDescent="0.25">
      <c r="A13" s="21">
        <v>1</v>
      </c>
      <c r="B13" s="43" t="str">
        <f t="shared" ref="B13:B22" si="0">B40</f>
        <v>BKNG-US</v>
      </c>
      <c r="C13" s="24" t="str">
        <f t="shared" ref="C13:C22" si="1">VLOOKUP($B13,$B$39:$Q$59,C$35,0)</f>
        <v>Booking Holdings Inc.</v>
      </c>
      <c r="D13" s="39">
        <f t="shared" ref="D13:G22" si="2">VLOOKUP($B13,$B$39:$Q$49,D$35,0)</f>
        <v>3659.88</v>
      </c>
      <c r="E13" s="39">
        <f t="shared" si="2"/>
        <v>35.404612999999998</v>
      </c>
      <c r="F13" s="39">
        <f t="shared" si="2"/>
        <v>129576.63502644</v>
      </c>
      <c r="G13" s="39">
        <f t="shared" si="2"/>
        <v>131041.63502644</v>
      </c>
      <c r="I13" s="39">
        <f t="shared" ref="I13:M22" si="3">VLOOKUP($B13,$B$39:$Q$49,K$35,0)</f>
        <v>10958</v>
      </c>
      <c r="J13" s="39">
        <f t="shared" si="3"/>
        <v>17090</v>
      </c>
      <c r="K13" s="39">
        <f t="shared" si="3"/>
        <v>21365</v>
      </c>
      <c r="L13" s="39">
        <f t="shared" si="3"/>
        <v>5510</v>
      </c>
      <c r="M13" s="39">
        <f t="shared" si="3"/>
        <v>6505</v>
      </c>
      <c r="N13" s="39">
        <f>INDEX($P$39:$P$49,MATCH($B13,$B$39:$B$49,0))</f>
        <v>3058</v>
      </c>
      <c r="O13" s="39">
        <f>INDEX($Q$39:$Q$49,MATCH($B13,$B$39:$B$49,0))</f>
        <v>4289</v>
      </c>
      <c r="P13" s="49"/>
      <c r="Q13" s="40">
        <f t="shared" ref="Q13:R18" si="4">J13/I13-1</f>
        <v>0.55959116627121741</v>
      </c>
      <c r="R13" s="40">
        <f t="shared" si="4"/>
        <v>0.25014628437682851</v>
      </c>
      <c r="S13" s="40">
        <f t="shared" ref="S13:T18" si="5">L13/J13</f>
        <v>0.32241076653013456</v>
      </c>
      <c r="T13" s="40">
        <f t="shared" si="5"/>
        <v>0.30446992745143925</v>
      </c>
      <c r="U13" s="41">
        <f t="shared" ref="U13:V18" si="6">N13/J13</f>
        <v>0.17893504973668811</v>
      </c>
      <c r="V13" s="41">
        <f t="shared" si="6"/>
        <v>0.20074888836882751</v>
      </c>
      <c r="W13" s="49"/>
      <c r="X13" s="42" cm="1">
        <f t="array" ref="X13">_xll.FDS(B40,"FE_VALUATION(FFEV_SALES,MEAN,ANN,+1,NOW,,,'')")</f>
        <v>5.7608986</v>
      </c>
      <c r="Y13" s="42" cm="1">
        <f t="array" ref="Y13">_xll.FDS(B40,"FE_VALUATION(FFEV_SALES,MEAN,ANN,+2,NOW,,,'')")</f>
        <v>5.2980460000000003</v>
      </c>
      <c r="Z13" s="42" cm="1">
        <f t="array" ref="Z13">_xll.FDS(B40,"FE_VALUATION(FFEV_EBITDA,MEAN,ANN,+1,NOW,,,'')")</f>
        <v>16.90352</v>
      </c>
      <c r="AA13" s="42" cm="1">
        <f t="array" ref="AA13">_xll.FDS(B40,"FE_VALUATION(FFEV_EBITDA,MEAN,ANN,+2,NOW,,,'')")</f>
        <v>14.98236</v>
      </c>
      <c r="AB13" s="42" cm="1">
        <f t="array" ref="AB13">_xll.FDS(B40,"FE_VALUATION(PE,MEAN,ANN,+1,NOW,,,'')")</f>
        <v>20.939722</v>
      </c>
      <c r="AC13" s="42" cm="1">
        <f t="array" ref="AC13">_xll.FDS(B40,"FE_VALUATION(PE,MEAN,ANN,+2,NOW,,,'')")</f>
        <v>18.006692999999999</v>
      </c>
    </row>
    <row r="14" spans="1:29" ht="15.75" customHeight="1" x14ac:dyDescent="0.25">
      <c r="A14" s="21">
        <f t="shared" ref="A14:A18" si="7">A13+1</f>
        <v>2</v>
      </c>
      <c r="B14" s="43" t="str">
        <f t="shared" si="0"/>
        <v>EXPE-US</v>
      </c>
      <c r="C14" s="24" t="str">
        <f t="shared" si="1"/>
        <v>Expedia Group, Inc.</v>
      </c>
      <c r="D14" s="39">
        <f t="shared" si="2"/>
        <v>124.9</v>
      </c>
      <c r="E14" s="39">
        <f t="shared" si="2"/>
        <v>138.29610400000001</v>
      </c>
      <c r="F14" s="39">
        <f t="shared" si="2"/>
        <v>17273.183389600003</v>
      </c>
      <c r="G14" s="39">
        <f t="shared" si="2"/>
        <v>16182.183389600003</v>
      </c>
      <c r="I14" s="39">
        <f t="shared" si="3"/>
        <v>8598</v>
      </c>
      <c r="J14" s="39">
        <f t="shared" si="3"/>
        <v>11667</v>
      </c>
      <c r="K14" s="39">
        <f t="shared" si="3"/>
        <v>12839</v>
      </c>
      <c r="L14" s="39">
        <f t="shared" si="3"/>
        <v>1958</v>
      </c>
      <c r="M14" s="39">
        <f t="shared" si="3"/>
        <v>2266</v>
      </c>
      <c r="N14" s="39">
        <f t="shared" ref="N14:N22" si="8">INDEX($P$39:$P$49,MATCH($B14,$B$39:$B$49,0))</f>
        <v>352</v>
      </c>
      <c r="O14" s="39">
        <f t="shared" ref="O14:O22" si="9">INDEX($Q$39:$Q$49,MATCH($B14,$B$39:$B$49,0))</f>
        <v>797</v>
      </c>
      <c r="P14" s="49"/>
      <c r="Q14" s="40">
        <f t="shared" si="4"/>
        <v>0.35694347522679704</v>
      </c>
      <c r="R14" s="40">
        <f t="shared" si="4"/>
        <v>0.1004542727350648</v>
      </c>
      <c r="S14" s="40">
        <f t="shared" si="5"/>
        <v>0.16782377646352961</v>
      </c>
      <c r="T14" s="40">
        <f t="shared" si="5"/>
        <v>0.17649349637822259</v>
      </c>
      <c r="U14" s="41">
        <f t="shared" si="6"/>
        <v>3.0170566555241279E-2</v>
      </c>
      <c r="V14" s="41">
        <f t="shared" si="6"/>
        <v>6.2076485707609624E-2</v>
      </c>
      <c r="W14" s="49"/>
      <c r="X14" s="42"/>
      <c r="Y14" s="42"/>
      <c r="Z14" s="42"/>
      <c r="AA14" s="42"/>
      <c r="AB14" s="42"/>
      <c r="AC14" s="42"/>
    </row>
    <row r="15" spans="1:29" ht="15.75" customHeight="1" x14ac:dyDescent="0.25">
      <c r="A15" s="21">
        <f t="shared" si="7"/>
        <v>3</v>
      </c>
      <c r="B15" s="43" t="str">
        <f t="shared" si="0"/>
        <v>TCOM-US</v>
      </c>
      <c r="C15" s="24" t="str">
        <f t="shared" si="1"/>
        <v>Trip.com Group Ltd. Sponsored ADR</v>
      </c>
      <c r="D15" s="39">
        <f t="shared" si="2"/>
        <v>43.43</v>
      </c>
      <c r="E15" s="39">
        <f t="shared" si="2"/>
        <v>676.30064600000003</v>
      </c>
      <c r="F15" s="39">
        <f t="shared" si="2"/>
        <v>29371.737055780002</v>
      </c>
      <c r="G15" s="39">
        <f t="shared" si="2"/>
        <v>26259.020952590166</v>
      </c>
      <c r="I15" s="39">
        <f t="shared" si="3"/>
        <v>3104.64996128443</v>
      </c>
      <c r="J15" s="39">
        <f t="shared" si="3"/>
        <v>2975.9208868115202</v>
      </c>
      <c r="K15" s="39">
        <f t="shared" si="3"/>
        <v>6282.2611619222198</v>
      </c>
      <c r="L15" s="39">
        <f t="shared" si="3"/>
        <v>204.79041000000001</v>
      </c>
      <c r="M15" s="39">
        <f t="shared" si="3"/>
        <v>1746.7819400000001</v>
      </c>
      <c r="N15" s="39">
        <f>INDEX($P$39:$P$49,MATCH($B15,$B$39:$B$49,0))</f>
        <v>208.354558820129</v>
      </c>
      <c r="O15" s="39">
        <f t="shared" si="9"/>
        <v>1399.8532061097401</v>
      </c>
      <c r="P15" s="49"/>
      <c r="Q15" s="40">
        <f t="shared" si="4"/>
        <v>-4.1463313442154703E-2</v>
      </c>
      <c r="R15" s="40">
        <f t="shared" si="4"/>
        <v>1.1110309718794977</v>
      </c>
      <c r="S15" s="40">
        <f t="shared" si="5"/>
        <v>6.8815811235969332E-2</v>
      </c>
      <c r="T15" s="40">
        <f t="shared" si="5"/>
        <v>0.27804987646606005</v>
      </c>
      <c r="U15" s="41">
        <f t="shared" si="6"/>
        <v>7.0013473726233885E-2</v>
      </c>
      <c r="V15" s="41">
        <f t="shared" si="6"/>
        <v>0.22282633116153658</v>
      </c>
      <c r="W15" s="49"/>
      <c r="X15" s="42" cm="1">
        <f t="array" ref="X15">_xll.FDS(B42,"FE_VALUATION(FFEV_SALES,MEAN,ANN,+1,NOW,,,'')")</f>
        <v>3.559571</v>
      </c>
      <c r="Y15" s="42" cm="1">
        <f t="array" ref="Y15">_xll.FDS(B42,"FE_VALUATION(FFEV_SALES,MEAN,ANN,+2,NOW,,,'')")</f>
        <v>3.0780694</v>
      </c>
      <c r="Z15" s="42" cm="1">
        <f t="array" ref="Z15">_xll.FDS(B42,"FE_VALUATION(FFEV_EBITDA,MEAN,ANN,+1,NOW,,,'')")</f>
        <v>11.742133000000001</v>
      </c>
      <c r="AA15" s="42" cm="1">
        <f t="array" ref="AA15">_xll.FDS(B42,"FE_VALUATION(FFEV_EBITDA,MEAN,ANN,+2,NOW,,,'')")</f>
        <v>10.179857</v>
      </c>
      <c r="AB15" s="42" cm="1">
        <f t="array" ref="AB15">_xll.FDS(B42,"FE_VALUATION(PE,MEAN,ANN,+1,NOW,,,'')")</f>
        <v>14.2362175</v>
      </c>
      <c r="AC15" s="42" cm="1">
        <f t="array" ref="AC15">_xll.FDS(B42,"FE_VALUATION(PE,MEAN,ANN,+2,NOW,,,'')")</f>
        <v>12.464879</v>
      </c>
    </row>
    <row r="16" spans="1:29" ht="15.75" customHeight="1" x14ac:dyDescent="0.25">
      <c r="A16" s="21">
        <f t="shared" si="7"/>
        <v>4</v>
      </c>
      <c r="B16" s="43" t="str">
        <f t="shared" si="0"/>
        <v>GOOG-US</v>
      </c>
      <c r="C16" s="24" t="str">
        <f t="shared" si="1"/>
        <v>Alphabet Inc. Class C</v>
      </c>
      <c r="D16" s="39">
        <f t="shared" si="2"/>
        <v>169.16</v>
      </c>
      <c r="E16" s="39">
        <f t="shared" si="2"/>
        <v>12798</v>
      </c>
      <c r="F16" s="39">
        <f>VLOOKUP($B16,$B$39:$Q$49,F$35,0)</f>
        <v>2164909.6800000002</v>
      </c>
      <c r="G16" s="39">
        <f t="shared" si="2"/>
        <v>2092903.6800000002</v>
      </c>
      <c r="I16" s="39">
        <f t="shared" si="3"/>
        <v>257488</v>
      </c>
      <c r="J16" s="39">
        <f t="shared" si="3"/>
        <v>280875</v>
      </c>
      <c r="K16" s="39">
        <f t="shared" si="3"/>
        <v>307157</v>
      </c>
      <c r="L16" s="39">
        <f t="shared" si="3"/>
        <v>88809</v>
      </c>
      <c r="M16" s="39">
        <f t="shared" si="3"/>
        <v>98090</v>
      </c>
      <c r="N16" s="39">
        <f t="shared" si="8"/>
        <v>59972</v>
      </c>
      <c r="O16" s="39">
        <f t="shared" si="9"/>
        <v>73795</v>
      </c>
      <c r="P16" s="49"/>
      <c r="Q16" s="40">
        <f t="shared" si="4"/>
        <v>9.0827533710308828E-2</v>
      </c>
      <c r="R16" s="40">
        <f t="shared" si="4"/>
        <v>9.3571873609256784E-2</v>
      </c>
      <c r="S16" s="40">
        <f t="shared" si="5"/>
        <v>0.31618691588785047</v>
      </c>
      <c r="T16" s="40">
        <f t="shared" si="5"/>
        <v>0.31934808583232677</v>
      </c>
      <c r="U16" s="41">
        <f t="shared" si="6"/>
        <v>0.21351846906987093</v>
      </c>
      <c r="V16" s="41">
        <f t="shared" si="6"/>
        <v>0.24025172794369004</v>
      </c>
      <c r="W16" s="49"/>
      <c r="X16" s="42"/>
      <c r="Y16" s="42"/>
      <c r="Z16" s="42"/>
      <c r="AA16" s="42"/>
      <c r="AB16" s="42"/>
      <c r="AC16" s="42"/>
    </row>
    <row r="17" spans="1:29" ht="15.75" customHeight="1" x14ac:dyDescent="0.25">
      <c r="A17" s="21">
        <f t="shared" si="7"/>
        <v>5</v>
      </c>
      <c r="B17" s="43" t="str">
        <f t="shared" si="0"/>
        <v>BIDU-US</v>
      </c>
      <c r="C17" s="24" t="str">
        <f t="shared" si="1"/>
        <v>Baidu Inc Sponsored ADR Class A</v>
      </c>
      <c r="D17" s="39">
        <f t="shared" si="2"/>
        <v>87.79</v>
      </c>
      <c r="E17" s="39">
        <f t="shared" si="2"/>
        <v>3085.53838</v>
      </c>
      <c r="F17" s="39">
        <f t="shared" si="2"/>
        <v>270879.41438020003</v>
      </c>
      <c r="G17" s="39">
        <f t="shared" si="2"/>
        <v>256712.17697281603</v>
      </c>
      <c r="I17" s="39">
        <f t="shared" si="3"/>
        <v>19303.160746650501</v>
      </c>
      <c r="J17" s="39">
        <f t="shared" si="3"/>
        <v>18366.536038545601</v>
      </c>
      <c r="K17" s="39">
        <f t="shared" si="3"/>
        <v>18997.523879406999</v>
      </c>
      <c r="L17" s="39">
        <f t="shared" si="3"/>
        <v>5185.25144</v>
      </c>
      <c r="M17" s="39">
        <f t="shared" si="3"/>
        <v>5204.9190099999996</v>
      </c>
      <c r="N17" s="39">
        <f t="shared" si="8"/>
        <v>1034.7929906334</v>
      </c>
      <c r="O17" s="39">
        <f t="shared" si="9"/>
        <v>2766.1144518389501</v>
      </c>
      <c r="P17" s="49"/>
      <c r="Q17" s="40">
        <f t="shared" si="4"/>
        <v>-4.8521831237789637E-2</v>
      </c>
      <c r="R17" s="40">
        <f t="shared" si="4"/>
        <v>3.4355299199432698E-2</v>
      </c>
      <c r="S17" s="40">
        <f t="shared" si="5"/>
        <v>0.28232059813117633</v>
      </c>
      <c r="T17" s="40">
        <f t="shared" si="5"/>
        <v>0.27397881129350998</v>
      </c>
      <c r="U17" s="41">
        <f t="shared" si="6"/>
        <v>5.6341216899130783E-2</v>
      </c>
      <c r="V17" s="41">
        <f t="shared" si="6"/>
        <v>0.14560394656681402</v>
      </c>
      <c r="W17" s="49"/>
      <c r="X17" s="42"/>
      <c r="Y17" s="42"/>
      <c r="Z17" s="42"/>
      <c r="AA17" s="42"/>
      <c r="AB17" s="42"/>
      <c r="AC17" s="42"/>
    </row>
    <row r="18" spans="1:29" ht="15.75" customHeight="1" x14ac:dyDescent="0.25">
      <c r="A18" s="21">
        <f t="shared" si="7"/>
        <v>6</v>
      </c>
      <c r="B18" s="43" t="str">
        <f t="shared" si="0"/>
        <v>TRIP-US</v>
      </c>
      <c r="C18" s="24" t="str">
        <f t="shared" si="1"/>
        <v>TripAdvisor, Inc.</v>
      </c>
      <c r="D18" s="39">
        <f t="shared" si="2"/>
        <v>17.61</v>
      </c>
      <c r="E18" s="39">
        <f t="shared" si="2"/>
        <v>150.29249300000001</v>
      </c>
      <c r="F18" s="39">
        <f t="shared" si="2"/>
        <v>2646.6508017300002</v>
      </c>
      <c r="G18" s="39">
        <f t="shared" si="2"/>
        <v>2392.6508017300002</v>
      </c>
      <c r="I18" s="39">
        <f t="shared" si="3"/>
        <v>902</v>
      </c>
      <c r="J18" s="39">
        <f t="shared" si="3"/>
        <v>1492</v>
      </c>
      <c r="K18" s="39">
        <f t="shared" si="3"/>
        <v>1788</v>
      </c>
      <c r="L18" s="39">
        <f t="shared" si="3"/>
        <v>206</v>
      </c>
      <c r="M18" s="39">
        <f t="shared" si="3"/>
        <v>238</v>
      </c>
      <c r="N18" s="39">
        <f t="shared" si="8"/>
        <v>20</v>
      </c>
      <c r="O18" s="39">
        <f t="shared" si="9"/>
        <v>10</v>
      </c>
      <c r="P18" s="49"/>
      <c r="Q18" s="40">
        <f t="shared" si="4"/>
        <v>0.65410199556541015</v>
      </c>
      <c r="R18" s="40">
        <f t="shared" si="4"/>
        <v>0.19839142091152806</v>
      </c>
      <c r="S18" s="40">
        <f t="shared" si="5"/>
        <v>0.13806970509383379</v>
      </c>
      <c r="T18" s="40">
        <f t="shared" si="5"/>
        <v>0.13310961968680091</v>
      </c>
      <c r="U18" s="41">
        <f t="shared" si="6"/>
        <v>1.3404825737265416E-2</v>
      </c>
      <c r="V18" s="41">
        <f t="shared" si="6"/>
        <v>5.5928411633109623E-3</v>
      </c>
      <c r="W18" s="49"/>
      <c r="X18" s="42"/>
      <c r="Y18" s="42"/>
      <c r="Z18" s="42"/>
      <c r="AA18" s="42"/>
      <c r="AB18" s="42"/>
      <c r="AC18" s="42"/>
    </row>
    <row r="19" spans="1:29" ht="15.75" customHeight="1" x14ac:dyDescent="0.25">
      <c r="A19" s="21">
        <f>A18+1</f>
        <v>7</v>
      </c>
      <c r="B19" s="43" t="str">
        <f t="shared" si="0"/>
        <v>MAR-US</v>
      </c>
      <c r="C19" s="24" t="str">
        <f t="shared" si="1"/>
        <v>Marriott International, Inc. Class A</v>
      </c>
      <c r="D19" s="39">
        <f t="shared" si="2"/>
        <v>233.75</v>
      </c>
      <c r="E19" s="39">
        <f t="shared" si="2"/>
        <v>293.63997499999999</v>
      </c>
      <c r="F19" s="39">
        <f t="shared" si="2"/>
        <v>68638.344156249994</v>
      </c>
      <c r="G19" s="39">
        <f t="shared" si="2"/>
        <v>81718.344156249994</v>
      </c>
      <c r="I19" s="39">
        <f t="shared" si="3"/>
        <v>13857</v>
      </c>
      <c r="J19" s="39">
        <f t="shared" si="3"/>
        <v>20773</v>
      </c>
      <c r="K19" s="39">
        <f t="shared" si="3"/>
        <v>23713</v>
      </c>
      <c r="L19" s="39">
        <f t="shared" si="3"/>
        <v>3833</v>
      </c>
      <c r="M19" s="39">
        <f t="shared" si="3"/>
        <v>4235</v>
      </c>
      <c r="N19" s="39">
        <f t="shared" si="8"/>
        <v>2358</v>
      </c>
      <c r="O19" s="39">
        <f t="shared" si="9"/>
        <v>3083</v>
      </c>
      <c r="P19" s="49"/>
      <c r="Q19" s="40">
        <f>J19/I19-1</f>
        <v>0.49909792884462734</v>
      </c>
      <c r="R19" s="40">
        <f>K19/J19-1</f>
        <v>0.14152987050498234</v>
      </c>
      <c r="S19" s="40">
        <f>L19/J19</f>
        <v>0.18451836518557743</v>
      </c>
      <c r="T19" s="40">
        <f>M19/K19</f>
        <v>0.17859402015771939</v>
      </c>
      <c r="U19" s="41">
        <f>N19/J19</f>
        <v>0.11351273287440428</v>
      </c>
      <c r="V19" s="41">
        <f>O19/K19</f>
        <v>0.13001307299793363</v>
      </c>
      <c r="W19" s="49"/>
      <c r="X19" s="42" cm="1">
        <f t="array" ref="X19">_xll.FDS(B46,"FE_VALUATION(FFEV_SALES,MEAN,ANN,+1,NOW,,,'')")</f>
        <v>3.2835302</v>
      </c>
      <c r="Y19" s="42" cm="1">
        <f t="array" ref="Y19">_xll.FDS(B46,"FE_VALUATION(FFEV_SALES,MEAN,ANN,+2,NOW,,,'')")</f>
        <v>3.1157951000000002</v>
      </c>
      <c r="Z19" s="42" cm="1">
        <f t="array" ref="Z19">_xll.FDS(B46,"FE_VALUATION(FFEV_EBITDA,MEAN,ANN,+1,NOW,,,'')")</f>
        <v>16.621908000000001</v>
      </c>
      <c r="AA19" s="42" cm="1">
        <f t="array" ref="AA19">_xll.FDS(B46,"FE_VALUATION(FFEV_EBITDA,MEAN,ANN,+2,NOW,,,'')")</f>
        <v>15.558102999999999</v>
      </c>
      <c r="AB19" s="42" cm="1">
        <f t="array" ref="AB19">_xll.FDS(B46,"FE_VALUATION(PE,MEAN,ANN,+1,NOW,,,'')")</f>
        <v>24.784383999999999</v>
      </c>
      <c r="AC19" s="42" cm="1">
        <f t="array" ref="AC19">_xll.FDS(B46,"FE_VALUATION(PE,MEAN,ANN,+2,NOW,,,'')")</f>
        <v>21.841816000000001</v>
      </c>
    </row>
    <row r="20" spans="1:29" ht="15.75" customHeight="1" x14ac:dyDescent="0.25">
      <c r="A20" s="21">
        <f t="shared" ref="A20:A22" si="10">A19+1</f>
        <v>8</v>
      </c>
      <c r="B20" s="43" t="str">
        <f t="shared" si="0"/>
        <v>HLT-US</v>
      </c>
      <c r="C20" s="24" t="str">
        <f t="shared" si="1"/>
        <v>Hilton Worldwide Holdings Inc.</v>
      </c>
      <c r="D20" s="39">
        <f t="shared" si="2"/>
        <v>213.18</v>
      </c>
      <c r="E20" s="39">
        <f t="shared" si="2"/>
        <v>256.67142999999999</v>
      </c>
      <c r="F20" s="39">
        <f t="shared" si="2"/>
        <v>54717.215447399998</v>
      </c>
      <c r="G20" s="39">
        <f t="shared" si="2"/>
        <v>64245.215447399998</v>
      </c>
      <c r="I20" s="39">
        <f t="shared" si="3"/>
        <v>5788</v>
      </c>
      <c r="J20" s="39">
        <f t="shared" si="3"/>
        <v>8773</v>
      </c>
      <c r="K20" s="39">
        <f t="shared" si="3"/>
        <v>10235</v>
      </c>
      <c r="L20" s="39">
        <f t="shared" si="3"/>
        <v>2256</v>
      </c>
      <c r="M20" s="39">
        <f t="shared" si="3"/>
        <v>2410</v>
      </c>
      <c r="N20" s="39">
        <f t="shared" si="8"/>
        <v>1255</v>
      </c>
      <c r="O20" s="39">
        <f t="shared" si="9"/>
        <v>1141</v>
      </c>
      <c r="P20" s="49"/>
      <c r="Q20" s="40">
        <f t="shared" ref="Q20:R22" si="11">J20/I20-1</f>
        <v>0.51572218382861101</v>
      </c>
      <c r="R20" s="40">
        <f t="shared" si="11"/>
        <v>0.16664766898438388</v>
      </c>
      <c r="S20" s="40">
        <f t="shared" ref="S20:T22" si="12">L20/J20</f>
        <v>0.25715262737945971</v>
      </c>
      <c r="T20" s="40">
        <f t="shared" si="12"/>
        <v>0.23546653639472398</v>
      </c>
      <c r="U20" s="41">
        <f t="shared" ref="U20:V22" si="13">N20/J20</f>
        <v>0.14305254758919411</v>
      </c>
      <c r="V20" s="41">
        <f t="shared" si="13"/>
        <v>0.11148021494870543</v>
      </c>
      <c r="W20" s="49"/>
      <c r="X20" s="42" cm="1">
        <f t="array" ref="X20">_xll.FDS(B47,"FE_VALUATION(FFEV_SALES,MEAN,ANN,+1,NOW,,,'')")</f>
        <v>5.8259033999999996</v>
      </c>
      <c r="Y20" s="42" cm="1">
        <f t="array" ref="Y20">_xll.FDS(B47,"FE_VALUATION(FFEV_SALES,MEAN,ANN,+2,NOW,,,'')")</f>
        <v>5.3971213999999996</v>
      </c>
      <c r="Z20" s="42" cm="1">
        <f t="array" ref="Z20">_xll.FDS(B47,"FE_VALUATION(FFEV_EBITDA,MEAN,ANN,+1,NOW,,,'')")</f>
        <v>19.236609999999999</v>
      </c>
      <c r="AA20" s="42" cm="1">
        <f t="array" ref="AA20">_xll.FDS(B47,"FE_VALUATION(FFEV_EBITDA,MEAN,ANN,+2,NOW,,,'')")</f>
        <v>17.810030000000001</v>
      </c>
      <c r="AB20" s="42" cm="1">
        <f t="array" ref="AB20">_xll.FDS(B47,"FE_VALUATION(PE,MEAN,ANN,+1,NOW,,,'')")</f>
        <v>30.286311999999999</v>
      </c>
      <c r="AC20" s="42" cm="1">
        <f t="array" ref="AC20">_xll.FDS(B47,"FE_VALUATION(PE,MEAN,ANN,+2,NOW,,,'')")</f>
        <v>26.266145999999999</v>
      </c>
    </row>
    <row r="21" spans="1:29" ht="15.75" customHeight="1" x14ac:dyDescent="0.25">
      <c r="A21" s="21">
        <f t="shared" si="10"/>
        <v>9</v>
      </c>
      <c r="B21" s="43" t="str">
        <f t="shared" si="0"/>
        <v>WH-US</v>
      </c>
      <c r="C21" s="24" t="str">
        <f t="shared" si="1"/>
        <v>Wyndham Hotels &amp; Resorts, Inc.</v>
      </c>
      <c r="D21" s="39">
        <f t="shared" si="2"/>
        <v>76.599999999999994</v>
      </c>
      <c r="E21" s="39">
        <f t="shared" si="2"/>
        <v>83.204937000000001</v>
      </c>
      <c r="F21" s="39">
        <f t="shared" si="2"/>
        <v>6373.4981742</v>
      </c>
      <c r="G21" s="39">
        <f t="shared" si="2"/>
        <v>8730.4981742</v>
      </c>
      <c r="I21" s="39">
        <f t="shared" si="3"/>
        <v>1576</v>
      </c>
      <c r="J21" s="39">
        <f t="shared" si="3"/>
        <v>1510</v>
      </c>
      <c r="K21" s="39">
        <f t="shared" si="3"/>
        <v>1397</v>
      </c>
      <c r="L21" s="39">
        <f t="shared" si="3"/>
        <v>599</v>
      </c>
      <c r="M21" s="39">
        <f t="shared" si="3"/>
        <v>555</v>
      </c>
      <c r="N21" s="39">
        <f t="shared" si="8"/>
        <v>355</v>
      </c>
      <c r="O21" s="39">
        <f t="shared" si="9"/>
        <v>289</v>
      </c>
      <c r="P21" s="49"/>
      <c r="Q21" s="40">
        <f t="shared" si="11"/>
        <v>-4.187817258883253E-2</v>
      </c>
      <c r="R21" s="40">
        <f t="shared" si="11"/>
        <v>-7.483443708609272E-2</v>
      </c>
      <c r="S21" s="40">
        <f t="shared" si="12"/>
        <v>0.39668874172185431</v>
      </c>
      <c r="T21" s="40">
        <f t="shared" si="12"/>
        <v>0.39727988546886184</v>
      </c>
      <c r="U21" s="41">
        <f t="shared" si="13"/>
        <v>0.23509933774834438</v>
      </c>
      <c r="V21" s="41">
        <f t="shared" si="13"/>
        <v>0.20687186828919113</v>
      </c>
      <c r="W21" s="49"/>
      <c r="X21" s="42" cm="1">
        <f t="array" ref="X21">_xll.FDS(B48,"FE_VALUATION(FFEV_SALES,MEAN,ANN,+1,NOW,,,'')")</f>
        <v>6.0709887</v>
      </c>
      <c r="Y21" s="42" cm="1">
        <f t="array" ref="Y21">_xll.FDS(B48,"FE_VALUATION(FFEV_SALES,MEAN,ANN,+2,NOW,,,'')")</f>
        <v>5.7645289999999996</v>
      </c>
      <c r="Z21" s="42" cm="1">
        <f t="array" ref="Z21">_xll.FDS(B48,"FE_VALUATION(FFEV_EBITDA,MEAN,ANN,+1,NOW,,,'')")</f>
        <v>12.534736000000001</v>
      </c>
      <c r="AA21" s="42" cm="1">
        <f t="array" ref="AA21">_xll.FDS(B48,"FE_VALUATION(FFEV_EBITDA,MEAN,ANN,+2,NOW,,,'')")</f>
        <v>11.960224</v>
      </c>
      <c r="AB21" s="42" cm="1">
        <f t="array" ref="AB21">_xll.FDS(B48,"FE_VALUATION(PE,MEAN,ANN,+1,NOW,,,'')")</f>
        <v>17.915065999999999</v>
      </c>
      <c r="AC21" s="42" cm="1">
        <f t="array" ref="AC21">_xll.FDS(B48,"FE_VALUATION(PE,MEAN,ANN,+2,NOW,,,'')")</f>
        <v>16.352893999999999</v>
      </c>
    </row>
    <row r="22" spans="1:29" ht="15.75" customHeight="1" x14ac:dyDescent="0.25">
      <c r="A22" s="21">
        <f t="shared" si="10"/>
        <v>10</v>
      </c>
      <c r="B22" s="43" t="str">
        <f t="shared" si="0"/>
        <v>HTHT-US</v>
      </c>
      <c r="C22" s="24" t="str">
        <f t="shared" si="1"/>
        <v>H World Group Limited Sponsored ADR</v>
      </c>
      <c r="D22" s="39">
        <f t="shared" si="2"/>
        <v>31.1</v>
      </c>
      <c r="E22" s="39">
        <f t="shared" si="2"/>
        <v>3258.8728489999999</v>
      </c>
      <c r="F22" s="39">
        <f t="shared" si="2"/>
        <v>101350.94560390001</v>
      </c>
      <c r="G22" s="39">
        <f t="shared" si="2"/>
        <v>105193.51801879035</v>
      </c>
      <c r="I22" s="39">
        <f t="shared" si="3"/>
        <v>1982.36776482153</v>
      </c>
      <c r="J22" s="39">
        <f t="shared" si="3"/>
        <v>2058.5965034673</v>
      </c>
      <c r="K22" s="39">
        <f t="shared" si="3"/>
        <v>3088.4843573395201</v>
      </c>
      <c r="L22" s="39">
        <f t="shared" si="3"/>
        <v>108.1127</v>
      </c>
      <c r="M22" s="39">
        <f t="shared" si="3"/>
        <v>805.0779</v>
      </c>
      <c r="N22" s="39">
        <f t="shared" si="8"/>
        <v>-270.43025774159298</v>
      </c>
      <c r="O22" s="39">
        <f t="shared" si="9"/>
        <v>576.56789140535295</v>
      </c>
      <c r="P22" s="49"/>
      <c r="Q22" s="40">
        <f t="shared" si="11"/>
        <v>3.8453378832374652E-2</v>
      </c>
      <c r="R22" s="40">
        <f t="shared" si="11"/>
        <v>0.5002864097639228</v>
      </c>
      <c r="S22" s="40">
        <f t="shared" si="12"/>
        <v>5.2517673967630601E-2</v>
      </c>
      <c r="T22" s="40">
        <f t="shared" si="12"/>
        <v>0.2606708685724119</v>
      </c>
      <c r="U22" s="41">
        <f t="shared" si="13"/>
        <v>-0.13136632520559835</v>
      </c>
      <c r="V22" s="41">
        <f t="shared" si="13"/>
        <v>0.18668311854492267</v>
      </c>
      <c r="W22" s="49"/>
      <c r="X22" s="42" cm="1">
        <f t="array" ref="X22">_xll.FDS(B49,"FE_VALUATION(FFEV_SALES,MEAN,ANN,+1,NOW,,,'')")</f>
        <v>4.2089767</v>
      </c>
      <c r="Y22" s="42" cm="1">
        <f t="array" ref="Y22">_xll.FDS(B49,"FE_VALUATION(FFEV_SALES,MEAN,ANN,+2,NOW,,,'')")</f>
        <v>3.8912575</v>
      </c>
      <c r="Z22" s="42" cm="1">
        <f t="array" ref="Z22">_xll.FDS(B49,"FE_VALUATION(FFEV_EBITDA,MEAN,ANN,+1,NOW,,,'')")</f>
        <v>14.032636</v>
      </c>
      <c r="AA22" s="42" cm="1">
        <f t="array" ref="AA22">_xll.FDS(B49,"FE_VALUATION(FFEV_EBITDA,MEAN,ANN,+2,NOW,,,'')")</f>
        <v>12.480752000000001</v>
      </c>
      <c r="AB22" s="42" cm="1">
        <f t="array" ref="AB22">_xll.FDS(B49,"FE_VALUATION(PE,MEAN,ANN,+1,NOW,,,'')")</f>
        <v>16.640937999999998</v>
      </c>
      <c r="AC22" s="42" cm="1">
        <f t="array" ref="AC22">_xll.FDS(B49,"FE_VALUATION(PE,MEAN,ANN,+2,NOW,,,'')")</f>
        <v>14.342904000000001</v>
      </c>
    </row>
    <row r="23" spans="1:29" ht="5.25" customHeight="1" x14ac:dyDescent="0.25">
      <c r="B23" s="43"/>
      <c r="D23" s="21"/>
      <c r="E23" s="21"/>
      <c r="F23" s="46"/>
      <c r="G23" s="46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</row>
    <row r="24" spans="1:29" outlineLevel="1" x14ac:dyDescent="0.25">
      <c r="B24" s="50" t="s">
        <v>39</v>
      </c>
      <c r="C24" s="51"/>
      <c r="D24" s="51"/>
      <c r="E24" s="51"/>
      <c r="F24" s="51"/>
      <c r="G24" s="51"/>
      <c r="H24" s="52"/>
      <c r="I24" s="52"/>
      <c r="J24" s="52"/>
      <c r="K24" s="52"/>
      <c r="L24" s="52"/>
      <c r="M24" s="52"/>
      <c r="N24" s="52"/>
      <c r="O24" s="52"/>
      <c r="P24" s="52"/>
      <c r="Q24" s="52">
        <f>AVERAGE(Q13:Q22)</f>
        <v>0.25828743450105696</v>
      </c>
      <c r="R24" s="52">
        <f t="shared" ref="R24:V24" si="14">AVERAGE(R13:R22)</f>
        <v>0.2521579634878805</v>
      </c>
      <c r="S24" s="52">
        <f t="shared" si="14"/>
        <v>0.21865049815970158</v>
      </c>
      <c r="T24" s="52">
        <f t="shared" si="14"/>
        <v>0.2557461127702077</v>
      </c>
      <c r="U24" s="52">
        <f t="shared" si="14"/>
        <v>9.2268189473077494E-2</v>
      </c>
      <c r="V24" s="52">
        <f t="shared" si="14"/>
        <v>0.15121484956925416</v>
      </c>
      <c r="W24" s="52"/>
      <c r="X24" s="53">
        <f t="shared" ref="X24:AC24" si="15">AVERAGE(X13:X22)</f>
        <v>4.7849781</v>
      </c>
      <c r="Y24" s="53">
        <f t="shared" si="15"/>
        <v>4.4241363999999992</v>
      </c>
      <c r="Z24" s="53">
        <f t="shared" si="15"/>
        <v>15.178590499999999</v>
      </c>
      <c r="AA24" s="53">
        <f t="shared" si="15"/>
        <v>13.828554333333331</v>
      </c>
      <c r="AB24" s="53">
        <f>AVERAGE(AB13:AB22)</f>
        <v>20.800439916666665</v>
      </c>
      <c r="AC24" s="53">
        <f t="shared" si="15"/>
        <v>18.212555333333331</v>
      </c>
    </row>
    <row r="25" spans="1:29" outlineLevel="1" x14ac:dyDescent="0.25">
      <c r="B25" s="54" t="s">
        <v>40</v>
      </c>
      <c r="C25" s="55"/>
      <c r="D25" s="55"/>
      <c r="E25" s="55"/>
      <c r="F25" s="55"/>
      <c r="G25" s="55"/>
      <c r="H25" s="56"/>
      <c r="I25" s="56"/>
      <c r="J25" s="56"/>
      <c r="K25" s="56"/>
      <c r="L25" s="56"/>
      <c r="M25" s="56"/>
      <c r="N25" s="56"/>
      <c r="O25" s="56"/>
      <c r="P25" s="56"/>
      <c r="Q25" s="56">
        <f>MEDIAN(Q13:Q22)</f>
        <v>0.22388550446855293</v>
      </c>
      <c r="R25" s="56">
        <f t="shared" ref="R25:V25" si="16">MEDIAN(R13:R22)</f>
        <v>0.15408876974468311</v>
      </c>
      <c r="S25" s="56">
        <f t="shared" si="16"/>
        <v>0.22083549628251858</v>
      </c>
      <c r="T25" s="56">
        <f t="shared" si="16"/>
        <v>0.26732483993296097</v>
      </c>
      <c r="U25" s="56">
        <f t="shared" si="16"/>
        <v>9.1763103300319088E-2</v>
      </c>
      <c r="V25" s="56">
        <f t="shared" si="16"/>
        <v>0.16614353255586833</v>
      </c>
      <c r="W25" s="56"/>
      <c r="X25" s="57">
        <f t="shared" ref="X25:AC25" si="17">MEDIAN(X13:X22)</f>
        <v>4.98493765</v>
      </c>
      <c r="Y25" s="57">
        <f t="shared" si="17"/>
        <v>4.5946517500000006</v>
      </c>
      <c r="Z25" s="57">
        <f t="shared" si="17"/>
        <v>15.327272000000001</v>
      </c>
      <c r="AA25" s="57">
        <f t="shared" si="17"/>
        <v>13.731556000000001</v>
      </c>
      <c r="AB25" s="57">
        <f t="shared" si="17"/>
        <v>19.427394</v>
      </c>
      <c r="AC25" s="57">
        <f t="shared" si="17"/>
        <v>17.179793499999999</v>
      </c>
    </row>
    <row r="26" spans="1:29" ht="15.75" customHeight="1" outlineLevel="1" x14ac:dyDescent="0.25">
      <c r="B26" s="34"/>
      <c r="C26" s="34"/>
      <c r="D26" s="35"/>
      <c r="E26" s="35"/>
      <c r="F26" s="35"/>
      <c r="G26" s="35"/>
      <c r="I26" s="35"/>
      <c r="J26" s="35"/>
      <c r="K26" s="35"/>
      <c r="L26" s="35"/>
      <c r="M26" s="35"/>
      <c r="N26" s="35"/>
      <c r="O26" s="35"/>
      <c r="P26" s="35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</row>
    <row r="27" spans="1:29" ht="15.75" customHeight="1" outlineLevel="1" x14ac:dyDescent="0.25">
      <c r="A27" s="58"/>
      <c r="B27" s="27"/>
      <c r="C27" s="27"/>
      <c r="D27" s="30" t="s">
        <v>41</v>
      </c>
      <c r="E27" s="30"/>
      <c r="F27" s="30"/>
      <c r="G27" s="29"/>
      <c r="H27" s="30" t="s">
        <v>42</v>
      </c>
      <c r="I27" s="30"/>
      <c r="J27" s="30"/>
      <c r="K27" s="29"/>
      <c r="L27" s="30" t="s">
        <v>43</v>
      </c>
      <c r="M27" s="30"/>
      <c r="N27" s="30"/>
      <c r="O27" s="29"/>
      <c r="P27" s="29"/>
      <c r="Q27" s="30"/>
      <c r="R27" s="30"/>
      <c r="S27" s="30"/>
      <c r="T27" s="30" t="s">
        <v>44</v>
      </c>
      <c r="U27" s="30"/>
      <c r="V27" s="30"/>
      <c r="W27" s="29"/>
      <c r="X27" s="30" t="s">
        <v>45</v>
      </c>
      <c r="Y27" s="30"/>
      <c r="Z27" s="30"/>
      <c r="AA27" s="29"/>
      <c r="AB27" s="29"/>
      <c r="AC27" s="29"/>
    </row>
    <row r="28" spans="1:29" ht="15.75" customHeight="1" outlineLevel="1" x14ac:dyDescent="0.25">
      <c r="B28" s="31" t="s">
        <v>46</v>
      </c>
      <c r="C28" s="31"/>
      <c r="D28" s="32" t="s">
        <v>9</v>
      </c>
      <c r="E28" s="32" t="s">
        <v>18</v>
      </c>
      <c r="F28" s="32" t="s">
        <v>47</v>
      </c>
      <c r="G28" s="32"/>
      <c r="H28" s="32" t="s">
        <v>9</v>
      </c>
      <c r="I28" s="32" t="s">
        <v>18</v>
      </c>
      <c r="J28" s="32" t="s">
        <v>48</v>
      </c>
      <c r="K28" s="32"/>
      <c r="L28" s="32" t="s">
        <v>9</v>
      </c>
      <c r="M28" s="32" t="s">
        <v>18</v>
      </c>
      <c r="N28" s="32" t="s">
        <v>19</v>
      </c>
      <c r="O28" s="32"/>
      <c r="P28" s="32" t="s">
        <v>49</v>
      </c>
      <c r="Q28" s="32" t="s">
        <v>50</v>
      </c>
      <c r="R28" s="32" t="s">
        <v>51</v>
      </c>
      <c r="S28" s="32"/>
      <c r="T28" s="32" t="s">
        <v>9</v>
      </c>
      <c r="U28" s="32" t="s">
        <v>18</v>
      </c>
      <c r="V28" s="32" t="s">
        <v>19</v>
      </c>
      <c r="W28" s="32"/>
      <c r="X28" s="32" t="s">
        <v>9</v>
      </c>
      <c r="Y28" s="32" t="s">
        <v>18</v>
      </c>
      <c r="Z28" s="32" t="s">
        <v>19</v>
      </c>
      <c r="AA28" s="32"/>
      <c r="AB28" s="32"/>
      <c r="AC28" s="32"/>
    </row>
    <row r="29" spans="1:29" ht="15.75" customHeight="1" outlineLevel="1" x14ac:dyDescent="0.25">
      <c r="B29" s="34" t="s">
        <v>52</v>
      </c>
      <c r="C29" s="34"/>
      <c r="D29" s="59">
        <f>MIN(X13:X22)</f>
        <v>3.2835302</v>
      </c>
      <c r="E29" s="59">
        <f>MIN(Z13:Z22)</f>
        <v>11.742133000000001</v>
      </c>
      <c r="F29" s="59">
        <f>MIN(AB13:AB22)</f>
        <v>14.2362175</v>
      </c>
      <c r="G29" s="35"/>
      <c r="H29" s="46">
        <f>K11</f>
        <v>9917</v>
      </c>
      <c r="I29" s="46">
        <f>M11</f>
        <v>1565</v>
      </c>
      <c r="J29" s="60" cm="1">
        <f t="array" ref="J29">_xll.FDS(B39,"FF_EPS(ANN_R,NOW,,,,USD)")</f>
        <v>7.2386999999999997</v>
      </c>
      <c r="L29" s="46">
        <f>H29*D29</f>
        <v>32562.768993400001</v>
      </c>
      <c r="M29" s="46">
        <f t="shared" ref="L29:M32" si="18">I29*E29</f>
        <v>18376.438145</v>
      </c>
      <c r="N29" s="46" t="s">
        <v>53</v>
      </c>
      <c r="P29" s="61" cm="1">
        <f t="array" ref="P29">_xll.FDS(B39,"FF_CASH_ST(QTR_R,0)")</f>
        <v>11128</v>
      </c>
      <c r="Q29" s="61">
        <f t="array" ref="Q29">_xll.FDS(B39,"FF_DEBT(QTR_R,0)")</f>
        <v>2290</v>
      </c>
      <c r="R29" s="62" cm="1">
        <f t="array" ref="R29">_xll.FDS(B39,"FREF_SHARES_COMPANY(0,,,,0,""LEGACY"")")</f>
        <v>441.50039672851602</v>
      </c>
      <c r="S29" s="63"/>
      <c r="T29" s="64">
        <f>L29+P29-Q29</f>
        <v>41400.768993400001</v>
      </c>
      <c r="U29" s="64">
        <f>M29+P29-Q29</f>
        <v>27214.438145</v>
      </c>
      <c r="V29" s="64">
        <f>F29*J29*R29</f>
        <v>45497.369796566913</v>
      </c>
      <c r="W29" s="36"/>
      <c r="X29" s="65">
        <f t="shared" ref="X29:Z32" si="19">T29/$R29</f>
        <v>93.772891938889558</v>
      </c>
      <c r="Y29" s="65">
        <f t="shared" si="19"/>
        <v>61.640801110614831</v>
      </c>
      <c r="Z29" s="65">
        <f>V29/$R29</f>
        <v>103.05170761725</v>
      </c>
      <c r="AB29" s="36"/>
      <c r="AC29" s="36"/>
    </row>
    <row r="30" spans="1:29" ht="15.75" customHeight="1" outlineLevel="1" x14ac:dyDescent="0.25">
      <c r="B30" s="34" t="s">
        <v>39</v>
      </c>
      <c r="C30" s="34"/>
      <c r="D30" s="59">
        <f>X24</f>
        <v>4.7849781</v>
      </c>
      <c r="E30" s="59">
        <f>Z24</f>
        <v>15.178590499999999</v>
      </c>
      <c r="F30" s="59">
        <f>AB24</f>
        <v>20.800439916666665</v>
      </c>
      <c r="G30" s="35"/>
      <c r="H30" s="45">
        <f t="shared" ref="H30:J32" si="20">H29</f>
        <v>9917</v>
      </c>
      <c r="I30" s="45">
        <f t="shared" si="20"/>
        <v>1565</v>
      </c>
      <c r="J30" s="60">
        <f t="shared" si="20"/>
        <v>7.2386999999999997</v>
      </c>
      <c r="K30" s="46"/>
      <c r="L30" s="46">
        <f>H30*D30</f>
        <v>47452.627817699999</v>
      </c>
      <c r="M30" s="46">
        <f t="shared" si="18"/>
        <v>23754.494132499996</v>
      </c>
      <c r="N30" s="46" t="s">
        <v>53</v>
      </c>
      <c r="P30" s="61">
        <f>P29</f>
        <v>11128</v>
      </c>
      <c r="Q30" s="61">
        <f t="shared" ref="P30:R32" si="21">Q29</f>
        <v>2290</v>
      </c>
      <c r="R30" s="61">
        <f>R29</f>
        <v>441.50039672851602</v>
      </c>
      <c r="T30" s="64">
        <f>L30+P30-Q30</f>
        <v>56290.627817699999</v>
      </c>
      <c r="U30" s="64">
        <f>M30+P30-Q30</f>
        <v>32592.494132499996</v>
      </c>
      <c r="V30" s="64">
        <f>F30*J30*R30</f>
        <v>66475.895498214653</v>
      </c>
      <c r="W30" s="36"/>
      <c r="X30" s="65">
        <f>T30/$R30</f>
        <v>127.49847618441392</v>
      </c>
      <c r="Y30" s="65">
        <f t="shared" si="19"/>
        <v>73.822117429583017</v>
      </c>
      <c r="Z30" s="65">
        <f t="shared" si="19"/>
        <v>150.56814442477497</v>
      </c>
      <c r="AA30" s="36"/>
      <c r="AB30" s="36"/>
      <c r="AC30" s="36"/>
    </row>
    <row r="31" spans="1:29" ht="15.75" customHeight="1" outlineLevel="1" x14ac:dyDescent="0.25">
      <c r="B31" s="34" t="s">
        <v>40</v>
      </c>
      <c r="C31" s="34"/>
      <c r="D31" s="59">
        <f>X25</f>
        <v>4.98493765</v>
      </c>
      <c r="E31" s="59">
        <f>Z25</f>
        <v>15.327272000000001</v>
      </c>
      <c r="F31" s="59">
        <f>AB25</f>
        <v>19.427394</v>
      </c>
      <c r="G31" s="35"/>
      <c r="H31" s="45">
        <f t="shared" si="20"/>
        <v>9917</v>
      </c>
      <c r="I31" s="45">
        <f>I30</f>
        <v>1565</v>
      </c>
      <c r="J31" s="60">
        <f t="shared" si="20"/>
        <v>7.2386999999999997</v>
      </c>
      <c r="K31" s="46"/>
      <c r="L31" s="46">
        <f t="shared" si="18"/>
        <v>49435.62667505</v>
      </c>
      <c r="M31" s="46">
        <f t="shared" si="18"/>
        <v>23987.180680000001</v>
      </c>
      <c r="N31" s="46" t="s">
        <v>53</v>
      </c>
      <c r="P31" s="61">
        <f t="shared" si="21"/>
        <v>11128</v>
      </c>
      <c r="Q31" s="61">
        <f t="shared" si="21"/>
        <v>2290</v>
      </c>
      <c r="R31" s="61">
        <f t="shared" si="21"/>
        <v>441.50039672851602</v>
      </c>
      <c r="T31" s="64">
        <f>L31+P31-Q31</f>
        <v>58273.62667505</v>
      </c>
      <c r="U31" s="64">
        <f>M31+P31-Q31</f>
        <v>32825.180680000005</v>
      </c>
      <c r="V31" s="64">
        <f>F31*J31*R31</f>
        <v>62087.793264018706</v>
      </c>
      <c r="W31" s="36"/>
      <c r="X31" s="65">
        <f t="shared" si="19"/>
        <v>131.98997578904365</v>
      </c>
      <c r="Y31" s="65">
        <f>U31/$R31</f>
        <v>74.349153303671002</v>
      </c>
      <c r="Z31" s="65">
        <f t="shared" si="19"/>
        <v>140.6290769478</v>
      </c>
      <c r="AA31" s="36"/>
      <c r="AB31" s="36"/>
      <c r="AC31" s="36"/>
    </row>
    <row r="32" spans="1:29" ht="15.75" customHeight="1" outlineLevel="1" x14ac:dyDescent="0.25">
      <c r="B32" s="34" t="s">
        <v>54</v>
      </c>
      <c r="C32" s="34"/>
      <c r="D32" s="59">
        <f>MAX(X13:X22)</f>
        <v>6.0709887</v>
      </c>
      <c r="E32" s="59">
        <f>MAX(Z13:Z22)</f>
        <v>19.236609999999999</v>
      </c>
      <c r="F32" s="59">
        <f>MAX(AB13:AB22)</f>
        <v>30.286311999999999</v>
      </c>
      <c r="G32" s="35"/>
      <c r="H32" s="45">
        <f t="shared" si="20"/>
        <v>9917</v>
      </c>
      <c r="I32" s="45">
        <f t="shared" si="20"/>
        <v>1565</v>
      </c>
      <c r="J32" s="60">
        <f t="shared" si="20"/>
        <v>7.2386999999999997</v>
      </c>
      <c r="K32" s="46"/>
      <c r="L32" s="46">
        <f t="shared" si="18"/>
        <v>60205.994937900003</v>
      </c>
      <c r="M32" s="46">
        <f t="shared" si="18"/>
        <v>30105.29465</v>
      </c>
      <c r="N32" s="46" t="s">
        <v>53</v>
      </c>
      <c r="P32" s="61">
        <f t="shared" si="21"/>
        <v>11128</v>
      </c>
      <c r="Q32" s="61">
        <f t="shared" si="21"/>
        <v>2290</v>
      </c>
      <c r="R32" s="61">
        <f t="shared" si="21"/>
        <v>441.50039672851602</v>
      </c>
      <c r="T32" s="64">
        <f>L32+P32-Q32</f>
        <v>69043.994937900003</v>
      </c>
      <c r="U32" s="64">
        <f>M32+P32-Q32</f>
        <v>38943.294649999996</v>
      </c>
      <c r="V32" s="64">
        <f>F32*J32*R32</f>
        <v>96791.689002939282</v>
      </c>
      <c r="W32" s="36"/>
      <c r="X32" s="65">
        <f t="shared" si="19"/>
        <v>156.38489897067069</v>
      </c>
      <c r="Y32" s="65">
        <f>U32/$R32</f>
        <v>88.20670363733943</v>
      </c>
      <c r="Z32" s="65">
        <f t="shared" si="19"/>
        <v>219.23352667439997</v>
      </c>
      <c r="AA32" s="36"/>
      <c r="AB32" s="36"/>
      <c r="AC32" s="36"/>
    </row>
    <row r="33" spans="1:29" ht="15.75" customHeight="1" outlineLevel="1" x14ac:dyDescent="0.25">
      <c r="B33" s="34"/>
      <c r="C33" s="34"/>
      <c r="D33" s="59"/>
      <c r="E33" s="59"/>
      <c r="F33" s="59"/>
      <c r="G33" s="35"/>
      <c r="H33" s="21"/>
      <c r="I33" s="46"/>
      <c r="J33" s="46"/>
      <c r="K33" s="46"/>
      <c r="L33" s="46"/>
      <c r="M33" s="46"/>
      <c r="N33" s="46"/>
      <c r="P33" s="46"/>
      <c r="Q33" s="46"/>
      <c r="R33" s="66"/>
      <c r="U33" s="36"/>
      <c r="V33" s="36"/>
      <c r="W33" s="36"/>
      <c r="X33" s="36"/>
      <c r="Y33" s="36"/>
      <c r="Z33" s="36"/>
      <c r="AA33" s="36"/>
      <c r="AB33" s="36"/>
      <c r="AC33" s="36"/>
    </row>
    <row r="34" spans="1:29" s="72" customFormat="1" ht="15.75" customHeight="1" outlineLevel="1" x14ac:dyDescent="0.25">
      <c r="A34" s="67"/>
      <c r="B34" s="68" t="s">
        <v>55</v>
      </c>
      <c r="C34" s="68"/>
      <c r="D34" s="69"/>
      <c r="E34" s="69"/>
      <c r="F34" s="69"/>
      <c r="G34" s="70"/>
      <c r="H34" s="67"/>
      <c r="I34" s="71"/>
      <c r="J34" s="71"/>
      <c r="K34" s="71"/>
      <c r="L34" s="71"/>
      <c r="M34" s="71"/>
      <c r="N34" s="71"/>
      <c r="P34" s="71"/>
      <c r="Q34" s="71"/>
      <c r="R34" s="73"/>
      <c r="U34" s="74"/>
      <c r="V34" s="74"/>
      <c r="W34" s="74"/>
      <c r="X34" s="74"/>
      <c r="Y34" s="74"/>
      <c r="Z34" s="74"/>
      <c r="AA34" s="74"/>
      <c r="AB34" s="74"/>
      <c r="AC34" s="74"/>
    </row>
    <row r="35" spans="1:29" ht="15.75" customHeight="1" x14ac:dyDescent="0.25">
      <c r="B35" s="75">
        <v>1</v>
      </c>
      <c r="C35" s="75">
        <f t="shared" ref="C35:O35" si="22">B35+1</f>
        <v>2</v>
      </c>
      <c r="D35" s="76">
        <f t="shared" si="22"/>
        <v>3</v>
      </c>
      <c r="E35" s="76">
        <f t="shared" si="22"/>
        <v>4</v>
      </c>
      <c r="F35" s="76">
        <f t="shared" si="22"/>
        <v>5</v>
      </c>
      <c r="G35" s="76">
        <f t="shared" si="22"/>
        <v>6</v>
      </c>
      <c r="H35" s="75">
        <f t="shared" si="22"/>
        <v>7</v>
      </c>
      <c r="I35" s="75">
        <f t="shared" si="22"/>
        <v>8</v>
      </c>
      <c r="J35" s="76">
        <f t="shared" si="22"/>
        <v>9</v>
      </c>
      <c r="K35" s="76">
        <f t="shared" si="22"/>
        <v>10</v>
      </c>
      <c r="L35" s="76">
        <f t="shared" si="22"/>
        <v>11</v>
      </c>
      <c r="M35" s="76">
        <f t="shared" si="22"/>
        <v>12</v>
      </c>
      <c r="N35" s="75">
        <f t="shared" si="22"/>
        <v>13</v>
      </c>
      <c r="O35" s="75">
        <f t="shared" si="22"/>
        <v>14</v>
      </c>
      <c r="P35" s="35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 spans="1:29" ht="15.75" customHeight="1" x14ac:dyDescent="0.25">
      <c r="B36" s="27"/>
      <c r="C36" s="28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spans="1:29" ht="15.75" customHeight="1" x14ac:dyDescent="0.25">
      <c r="B37" s="27"/>
      <c r="C37" s="27"/>
      <c r="D37" s="29" t="s">
        <v>14</v>
      </c>
      <c r="E37" s="29" t="s">
        <v>15</v>
      </c>
      <c r="F37" s="29" t="s">
        <v>16</v>
      </c>
      <c r="G37" s="29" t="s">
        <v>17</v>
      </c>
      <c r="H37" s="29"/>
      <c r="I37" s="29"/>
      <c r="J37" s="30"/>
      <c r="K37" s="30" t="s">
        <v>9</v>
      </c>
      <c r="L37" s="30"/>
      <c r="M37" s="30"/>
      <c r="N37" s="30" t="s">
        <v>18</v>
      </c>
      <c r="O37" s="30"/>
      <c r="P37" s="30" t="s">
        <v>19</v>
      </c>
      <c r="Q37" s="30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 spans="1:29" ht="15.75" customHeight="1" x14ac:dyDescent="0.25">
      <c r="B38" s="31" t="s">
        <v>26</v>
      </c>
      <c r="C38" s="31" t="s">
        <v>27</v>
      </c>
      <c r="D38" s="32" t="s">
        <v>28</v>
      </c>
      <c r="E38" s="32" t="s">
        <v>29</v>
      </c>
      <c r="F38" s="32" t="s">
        <v>30</v>
      </c>
      <c r="G38" s="32" t="s">
        <v>31</v>
      </c>
      <c r="H38" s="32" t="s">
        <v>49</v>
      </c>
      <c r="I38" s="32" t="s">
        <v>50</v>
      </c>
      <c r="J38" s="33"/>
      <c r="K38" s="33" t="s">
        <v>32</v>
      </c>
      <c r="L38" s="33" t="s">
        <v>33</v>
      </c>
      <c r="M38" s="33" t="s">
        <v>34</v>
      </c>
      <c r="N38" s="33" t="s">
        <v>35</v>
      </c>
      <c r="O38" s="33" t="s">
        <v>36</v>
      </c>
      <c r="P38" s="33" t="str">
        <f>N38</f>
        <v>'22</v>
      </c>
      <c r="Q38" s="33" t="str">
        <f>O38</f>
        <v>'23</v>
      </c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</row>
    <row r="39" spans="1:29" ht="15.75" customHeight="1" x14ac:dyDescent="0.25">
      <c r="B39" s="43" t="s">
        <v>56</v>
      </c>
      <c r="C39" s="77" t="str">
        <f t="array" ref="C39">_xll.FDS(B39,"FG_COMPANY_NAME")</f>
        <v>Airbnb, Inc. Class A</v>
      </c>
      <c r="D39" s="78" cm="1">
        <f t="array" ref="D39">_xll.FDS(B39,"FG_PRICE(0,,,USD)")</f>
        <v>140.03</v>
      </c>
      <c r="E39" s="46">
        <f t="array" ref="E39">_xll.FDS(B39,"FCS_SHARES(TOT,SHS,ANN,0,,,,,M)")</f>
        <v>681.94364599999994</v>
      </c>
      <c r="F39" s="46">
        <f t="shared" ref="F39:F49" si="23">D39*E39</f>
        <v>95492.568749379992</v>
      </c>
      <c r="G39" s="46">
        <f t="shared" ref="G39:G47" si="24">F39+I39-H39</f>
        <v>86654.568749379992</v>
      </c>
      <c r="H39" s="24">
        <f t="array" ref="H39">_xll.FDS(B39,"FF_CASH_ST(QTR_R,0)")</f>
        <v>11128</v>
      </c>
      <c r="I39" s="24">
        <f t="array" ref="I39">_xll.FDS(B39,"FF_DEBT(QTR_R,0)")</f>
        <v>2290</v>
      </c>
      <c r="K39" s="46">
        <f t="array" ref="K39">_xll.FDS(B39,"FF_SALES(ANN_R,-2AY,,,,USD)")</f>
        <v>5991.76</v>
      </c>
      <c r="L39" s="46">
        <f t="array" ref="L39">_xll.FDS(B39,"FF_SALES(ANN_R,-1AY,,,,USD)")</f>
        <v>8399</v>
      </c>
      <c r="M39" s="46">
        <f t="array" ref="M39">_xll.FDS(B39,"FF_SALES(ANN_R,0Y,,,,USD)")</f>
        <v>9917</v>
      </c>
      <c r="N39" s="46">
        <f t="array" ref="N39">_xll.FDS(B39,"FF_EBITDA_OPER(ANN_R,-1AY,,,,USD)")</f>
        <v>1968.3</v>
      </c>
      <c r="O39" s="46">
        <f t="array" ref="O39">_xll.FDS(B39,"FF_EBITDA_OPER(ANN_R,0Y,,,,USD)")</f>
        <v>1565</v>
      </c>
      <c r="P39" s="46">
        <f t="array" ref="P39">_xll.FDS(B39,"FF_NET_INC(ANN_R,-1AY,,,,USD)")</f>
        <v>1893</v>
      </c>
      <c r="Q39" s="46">
        <f t="array" ref="Q39">_xll.FDS(B39,"FF_NET_INC(ANN_R,0Y,,,,USD)")</f>
        <v>4792</v>
      </c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</row>
    <row r="40" spans="1:29" ht="15.75" customHeight="1" x14ac:dyDescent="0.25">
      <c r="B40" s="43" t="s">
        <v>57</v>
      </c>
      <c r="C40" s="77" t="str">
        <f t="array" ref="C40">_xll.FDS(B40,"FG_COMPANY_NAME")</f>
        <v>Booking Holdings Inc.</v>
      </c>
      <c r="D40" s="78">
        <f t="array" ref="D40">_xll.FDS(B40,"FG_PRICE(0,,,USD)")</f>
        <v>3659.88</v>
      </c>
      <c r="E40" s="46">
        <f t="array" ref="E40">_xll.FDS(B40,"FCS_SHARES(TOT,SHS,ANN,0,,,,,M)")</f>
        <v>35.404612999999998</v>
      </c>
      <c r="F40" s="46">
        <f t="shared" si="23"/>
        <v>129576.63502644</v>
      </c>
      <c r="G40" s="46">
        <f t="shared" si="24"/>
        <v>131041.63502644</v>
      </c>
      <c r="H40" s="24">
        <f t="array" ref="H40">_xll.FDS(B40,"FF_CASH_ST(QTR_R,0)")</f>
        <v>15991</v>
      </c>
      <c r="I40" s="24">
        <f t="array" ref="I40">_xll.FDS(B40,"FF_DEBT(QTR_R,0)")</f>
        <v>17456</v>
      </c>
      <c r="K40" s="46">
        <f t="array" ref="K40">_xll.FDS(B40,"FF_SALES(ANN_R,-2AY,,,,USD)")</f>
        <v>10958</v>
      </c>
      <c r="L40" s="46">
        <f t="array" ref="L40">_xll.FDS(B40,"FF_SALES(ANN_R,-1AY,,,,USD)")</f>
        <v>17090</v>
      </c>
      <c r="M40" s="46">
        <f t="array" ref="M40">_xll.FDS(B40,"FF_SALES(ANN_R,0Y,,,,USD)")</f>
        <v>21365</v>
      </c>
      <c r="N40" s="46">
        <f t="array" ref="N40">_xll.FDS(B40,"FF_EBITDA_OPER(ANN_R,-1AY,,,,USD)")</f>
        <v>5510</v>
      </c>
      <c r="O40" s="46">
        <f t="array" ref="O40">_xll.FDS(B40,"FF_EBITDA_OPER(ANN_R,0Y,,,,USD)")</f>
        <v>6505</v>
      </c>
      <c r="P40" s="46">
        <f t="array" ref="P40">_xll.FDS(B40,"FF_NET_INC(ANN_R,-1AY,,,,USD)")</f>
        <v>3058</v>
      </c>
      <c r="Q40" s="46">
        <f t="array" ref="Q40">_xll.FDS(B40,"FF_NET_INC(ANN_R,0Y,,,,USD)")</f>
        <v>4289</v>
      </c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</row>
    <row r="41" spans="1:29" ht="15.75" customHeight="1" x14ac:dyDescent="0.25">
      <c r="B41" s="43" t="s">
        <v>58</v>
      </c>
      <c r="C41" s="77" t="str">
        <f t="array" ref="C41">_xll.FDS(B41,"FG_COMPANY_NAME")</f>
        <v>Expedia Group, Inc.</v>
      </c>
      <c r="D41" s="78">
        <f t="array" ref="D41">_xll.FDS(B41,"FG_PRICE(0,,,USD)")</f>
        <v>124.9</v>
      </c>
      <c r="E41" s="46">
        <f t="array" ref="E41">_xll.FDS(B41,"FCS_SHARES(TOT,SHS,ANN,0,,,,,M)")</f>
        <v>138.29610400000001</v>
      </c>
      <c r="F41" s="46">
        <f t="shared" si="23"/>
        <v>17273.183389600003</v>
      </c>
      <c r="G41" s="46">
        <f t="shared" si="24"/>
        <v>16182.183389600003</v>
      </c>
      <c r="H41" s="24">
        <f t="array" ref="H41">_xll.FDS(B41,"FF_CASH_ST(QTR_R,0)")</f>
        <v>7648</v>
      </c>
      <c r="I41" s="24">
        <f t="array" ref="I41">_xll.FDS(B41,"FF_DEBT(QTR_R,0)")</f>
        <v>6557</v>
      </c>
      <c r="K41" s="46">
        <f t="array" ref="K41">_xll.FDS(B41,"FF_SALES(ANN_R,-2AY,,,,USD)")</f>
        <v>8598</v>
      </c>
      <c r="L41" s="46">
        <f t="array" ref="L41">_xll.FDS(B41,"FF_SALES(ANN_R,-1AY,,,,USD)")</f>
        <v>11667</v>
      </c>
      <c r="M41" s="46">
        <f t="array" ref="M41">_xll.FDS(B41,"FF_SALES(ANN_R,0Y,,,,USD)")</f>
        <v>12839</v>
      </c>
      <c r="N41" s="46">
        <f t="array" ref="N41">_xll.FDS(B41,"FF_EBITDA_OPER(ANN_R,-1AY,,,,USD)")</f>
        <v>1958</v>
      </c>
      <c r="O41" s="46">
        <f t="array" ref="O41">_xll.FDS(B41,"FF_EBITDA_OPER(ANN_R,0Y,,,,USD)")</f>
        <v>2266</v>
      </c>
      <c r="P41" s="46">
        <f t="array" ref="P41">_xll.FDS(B41,"FF_NET_INC(ANN_R,-1AY,,,,USD)")</f>
        <v>352</v>
      </c>
      <c r="Q41" s="46">
        <f t="array" ref="Q41">_xll.FDS(B41,"FF_NET_INC(ANN_R,0Y,,,,USD)")</f>
        <v>797</v>
      </c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</row>
    <row r="42" spans="1:29" ht="15.75" customHeight="1" x14ac:dyDescent="0.25">
      <c r="B42" s="43" t="s">
        <v>59</v>
      </c>
      <c r="C42" s="77" t="str">
        <f t="array" ref="C42">_xll.FDS(B42,"FG_COMPANY_NAME")</f>
        <v>Trip.com Group Ltd. Sponsored ADR</v>
      </c>
      <c r="D42" s="78">
        <f t="array" ref="D42">_xll.FDS(B42,"FG_PRICE(0,,,USD)")</f>
        <v>43.43</v>
      </c>
      <c r="E42" s="46">
        <f t="array" ref="E42">_xll.FDS(B42,"FCS_SHARES(TOT,SHS,ANN,0,,,,,M)")</f>
        <v>676.30064600000003</v>
      </c>
      <c r="F42" s="46">
        <f t="shared" si="23"/>
        <v>29371.737055780002</v>
      </c>
      <c r="G42" s="46">
        <f t="shared" si="24"/>
        <v>26259.020952590166</v>
      </c>
      <c r="H42" s="24">
        <f t="array" ref="H42">_xll.FDS(B42,"FF_CASH_ST(QTR_R,0)")</f>
        <v>9724.0382154145609</v>
      </c>
      <c r="I42" s="24">
        <f t="array" ref="I42">_xll.FDS(B42,"FF_DEBT(QTR_R,0)")</f>
        <v>6611.3221122247296</v>
      </c>
      <c r="K42" s="46">
        <f t="array" ref="K42">_xll.FDS(B42,"FF_SALES(ANN_R,-2AY,,,,USD)")</f>
        <v>3104.64996128443</v>
      </c>
      <c r="L42" s="46">
        <f t="array" ref="L42">_xll.FDS(B42,"FF_SALES(ANN_R,-1AY,,,,USD)")</f>
        <v>2975.9208868115202</v>
      </c>
      <c r="M42" s="46">
        <f t="array" ref="M42">_xll.FDS(B42,"FF_SALES(ANN_R,0Y,,,,USD)")</f>
        <v>6282.2611619222198</v>
      </c>
      <c r="N42" s="46">
        <f t="array" ref="N42">_xll.FDS(B42,"FF_EBITDA_OPER(ANN_R,-1AY,,,,USD)")</f>
        <v>204.79041000000001</v>
      </c>
      <c r="O42" s="46">
        <f t="array" ref="O42">_xll.FDS(B42,"FF_EBITDA_OPER(ANN_R,0Y,,,,USD)")</f>
        <v>1746.7819400000001</v>
      </c>
      <c r="P42" s="46">
        <f t="array" ref="P42">_xll.FDS(B42,"FF_NET_INC(ANN_R,-1AY,,,,USD)")</f>
        <v>208.354558820129</v>
      </c>
      <c r="Q42" s="46">
        <f t="array" ref="Q42">_xll.FDS(B42,"FF_NET_INC(ANN_R,0Y,,,,USD)")</f>
        <v>1399.8532061097401</v>
      </c>
      <c r="R42" s="36"/>
      <c r="S42" s="36"/>
      <c r="T42" s="36"/>
      <c r="U42" s="36"/>
      <c r="V42" s="79"/>
      <c r="W42" s="36"/>
      <c r="X42" s="36"/>
      <c r="Y42" s="36"/>
      <c r="Z42" s="36"/>
      <c r="AA42" s="36"/>
      <c r="AB42" s="36"/>
      <c r="AC42" s="36"/>
    </row>
    <row r="43" spans="1:29" ht="15.75" customHeight="1" x14ac:dyDescent="0.25">
      <c r="B43" s="43" t="s">
        <v>60</v>
      </c>
      <c r="C43" s="80" t="str">
        <f t="array" ref="C43">_xll.FDS(B43,"FG_COMPANY_NAME")</f>
        <v>Alphabet Inc. Class C</v>
      </c>
      <c r="D43" s="78">
        <f t="array" ref="D43">_xll.FDS(B43,"FG_PRICE(0,,,USD)")</f>
        <v>169.16</v>
      </c>
      <c r="E43" s="46">
        <f t="array" ref="E43">_xll.FDS(B43,"FCS_SHARES(TOT,SHS,ANN,0,,,,,M)")</f>
        <v>12798</v>
      </c>
      <c r="F43" s="46">
        <f t="shared" si="23"/>
        <v>2164909.6800000002</v>
      </c>
      <c r="G43" s="46">
        <f t="shared" si="24"/>
        <v>2092903.6800000002</v>
      </c>
      <c r="H43" s="24">
        <f t="array" ref="H43">_xll.FDS(B43,"FF_CASH_ST(QTR_R,0)")</f>
        <v>100725</v>
      </c>
      <c r="I43" s="24">
        <f t="array" ref="I43">_xll.FDS(B43,"FF_DEBT(QTR_R,0)")</f>
        <v>28719</v>
      </c>
      <c r="K43" s="46">
        <f t="array" ref="K43">_xll.FDS(B43,"FF_SALES(ANN_R,-2AY,,,,USD)")</f>
        <v>257488</v>
      </c>
      <c r="L43" s="46">
        <f t="array" ref="L43">_xll.FDS(B43,"FF_SALES(ANN_R,-1AY,,,,USD)")</f>
        <v>280875</v>
      </c>
      <c r="M43" s="46">
        <f t="array" ref="M43">_xll.FDS(B43,"FF_SALES(ANN_R,0Y,,,,USD)")</f>
        <v>307157</v>
      </c>
      <c r="N43" s="46">
        <f t="array" ref="N43">_xll.FDS(B43,"FF_EBITDA_OPER(ANN_R,-1AY,,,,USD)")</f>
        <v>88809</v>
      </c>
      <c r="O43" s="46">
        <f t="array" ref="O43">_xll.FDS(B43,"FF_EBITDA_OPER(ANN_R,0Y,,,,USD)")</f>
        <v>98090</v>
      </c>
      <c r="P43" s="46">
        <f t="array" ref="P43">_xll.FDS(B43,"FF_NET_INC(ANN_R,-1AY,,,,USD)")</f>
        <v>59972</v>
      </c>
      <c r="Q43" s="46">
        <f t="array" ref="Q43">_xll.FDS(B43,"FF_NET_INC(ANN_R,0Y,,,,USD)")</f>
        <v>73795</v>
      </c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</row>
    <row r="44" spans="1:29" ht="15.75" customHeight="1" x14ac:dyDescent="0.25">
      <c r="B44" s="43" t="s">
        <v>61</v>
      </c>
      <c r="C44" s="80" t="str">
        <f t="array" ref="C44">_xll.FDS(B44,"FG_COMPANY_NAME")</f>
        <v>Baidu Inc Sponsored ADR Class A</v>
      </c>
      <c r="D44" s="78">
        <f t="array" ref="D44">_xll.FDS(B44,"FG_PRICE(0,,,USD)")</f>
        <v>87.79</v>
      </c>
      <c r="E44" s="46">
        <f t="array" ref="E44">_xll.FDS(B44,"FCS_SHARES(TOT,SHS,ANN,0,,,,,M)")</f>
        <v>3085.53838</v>
      </c>
      <c r="F44" s="46">
        <f t="shared" si="23"/>
        <v>270879.41438020003</v>
      </c>
      <c r="G44" s="46">
        <f t="shared" si="24"/>
        <v>256712.17697281603</v>
      </c>
      <c r="H44" s="24">
        <f t="array" ref="H44">_xll.FDS(B44,"FF_CASH_ST(QTR_R,0)")</f>
        <v>26536.330240955602</v>
      </c>
      <c r="I44" s="24">
        <f t="array" ref="I44">_xll.FDS(B44,"FF_DEBT(QTR_R,0)")</f>
        <v>12369.0928335716</v>
      </c>
      <c r="K44" s="46">
        <f t="array" ref="K44">_xll.FDS(B44,"FF_SALES(ANN_R,-2AY,,,,USD)")</f>
        <v>19303.160746650501</v>
      </c>
      <c r="L44" s="46">
        <f t="array" ref="L44">_xll.FDS(B44,"FF_SALES(ANN_R,-1AY,,,,USD)")</f>
        <v>18366.536038545601</v>
      </c>
      <c r="M44" s="46">
        <f t="array" ref="M44">_xll.FDS(B44,"FF_SALES(ANN_R,0Y,,,,USD)")</f>
        <v>18997.523879406999</v>
      </c>
      <c r="N44" s="46">
        <f t="array" ref="N44">_xll.FDS(B44,"FF_EBITDA_OPER(ANN_R,-1AY,,,,USD)")</f>
        <v>5185.25144</v>
      </c>
      <c r="O44" s="46">
        <f t="array" ref="O44">_xll.FDS(B44,"FF_EBITDA_OPER(ANN_R,0Y,,,,USD)")</f>
        <v>5204.9190099999996</v>
      </c>
      <c r="P44" s="46">
        <f t="array" ref="P44">_xll.FDS(B44,"FF_NET_INC(ANN_R,-1AY,,,,USD)")</f>
        <v>1034.7929906334</v>
      </c>
      <c r="Q44" s="46">
        <f t="array" ref="Q44">_xll.FDS(B44,"FF_NET_INC(ANN_R,0Y,,,,USD)")</f>
        <v>2766.1144518389501</v>
      </c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</row>
    <row r="45" spans="1:29" ht="15.75" customHeight="1" x14ac:dyDescent="0.25">
      <c r="B45" s="43" t="s">
        <v>62</v>
      </c>
      <c r="C45" s="81" t="str">
        <f t="array" ref="C45">_xll.FDS(B45,"FG_COMPANY_NAME")</f>
        <v>TripAdvisor, Inc.</v>
      </c>
      <c r="D45" s="78">
        <f t="array" ref="D45">_xll.FDS(B45,"FG_PRICE(0,,,USD)")</f>
        <v>17.61</v>
      </c>
      <c r="E45" s="46">
        <f t="array" ref="E45">_xll.FDS(B45,"FCS_SHARES(TOT,SHS,ANN,0,,,,,M)")</f>
        <v>150.29249300000001</v>
      </c>
      <c r="F45" s="46">
        <f t="shared" si="23"/>
        <v>2646.6508017300002</v>
      </c>
      <c r="G45" s="46">
        <f t="shared" si="24"/>
        <v>2392.6508017300002</v>
      </c>
      <c r="H45" s="24">
        <f t="array" ref="H45">_xll.FDS(B45,"FF_CASH_ST(QTR_R,0)")</f>
        <v>1171</v>
      </c>
      <c r="I45" s="24">
        <f t="array" ref="I45">_xll.FDS(B45,"FF_DEBT(QTR_R,0)")</f>
        <v>917</v>
      </c>
      <c r="K45" s="46">
        <f t="array" ref="K45">_xll.FDS(B45,"FF_SALES(ANN_R,-2AY,,,,USD)")</f>
        <v>902</v>
      </c>
      <c r="L45" s="46">
        <f t="array" ref="L45">_xll.FDS(B45,"FF_SALES(ANN_R,-1AY,,,,USD)")</f>
        <v>1492</v>
      </c>
      <c r="M45" s="46">
        <f t="array" ref="M45">_xll.FDS(B45,"FF_SALES(ANN_R,0Y,,,,USD)")</f>
        <v>1788</v>
      </c>
      <c r="N45" s="46">
        <f t="array" ref="N45">_xll.FDS(B45,"FF_EBITDA_OPER(ANN_R,-1AY,,,,USD)")</f>
        <v>206</v>
      </c>
      <c r="O45" s="46">
        <f t="array" ref="O45">_xll.FDS(B45,"FF_EBITDA_OPER(ANN_R,0Y,,,,USD)")</f>
        <v>238</v>
      </c>
      <c r="P45" s="46">
        <f t="array" ref="P45">_xll.FDS(B45,"FF_NET_INC(ANN_R,-1AY,,,,USD)")</f>
        <v>20</v>
      </c>
      <c r="Q45" s="46">
        <f t="array" ref="Q45">_xll.FDS(B45,"FF_NET_INC(ANN_R,0Y,,,,USD)")</f>
        <v>10</v>
      </c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29" ht="15.75" customHeight="1" x14ac:dyDescent="0.25">
      <c r="B46" s="43" t="s">
        <v>63</v>
      </c>
      <c r="C46" s="82" t="str">
        <f t="array" ref="C46">_xll.FDS(B46,"FG_COMPANY_NAME")</f>
        <v>Marriott International, Inc. Class A</v>
      </c>
      <c r="D46" s="78">
        <f t="array" ref="D46">_xll.FDS(B46,"FG_PRICE(0,,,USD)")</f>
        <v>233.75</v>
      </c>
      <c r="E46" s="46">
        <f t="array" ref="E46">_xll.FDS(B46,"FCS_SHARES(TOT,SHS,ANN,0,,,,,M)")</f>
        <v>293.63997499999999</v>
      </c>
      <c r="F46" s="46">
        <f t="shared" si="23"/>
        <v>68638.344156249994</v>
      </c>
      <c r="G46" s="46">
        <f t="shared" si="24"/>
        <v>81718.344156249994</v>
      </c>
      <c r="H46" s="24">
        <f t="array" ref="H46">_xll.FDS(B46,"FF_CASH_ST(QTR_R,0)")</f>
        <v>429</v>
      </c>
      <c r="I46" s="24">
        <f t="array" ref="I46">_xll.FDS(B46,"FF_DEBT(QTR_R,0)")</f>
        <v>13509</v>
      </c>
      <c r="K46" s="46">
        <f t="array" ref="K46">_xll.FDS(B46,"FF_SALES(ANN_R,-2AY,,,,USD)")</f>
        <v>13857</v>
      </c>
      <c r="L46" s="46">
        <f t="array" ref="L46">_xll.FDS(B46,"FF_SALES(ANN_R,-1AY,,,,USD)")</f>
        <v>20773</v>
      </c>
      <c r="M46" s="46">
        <f t="array" ref="M46">_xll.FDS(B46,"FF_SALES(ANN_R,0Y,,,,USD)")</f>
        <v>23713</v>
      </c>
      <c r="N46" s="46">
        <f t="array" ref="N46">_xll.FDS(B46,"FF_EBITDA_OPER(ANN_R,-1AY,,,,USD)")</f>
        <v>3833</v>
      </c>
      <c r="O46" s="46">
        <f t="array" ref="O46">_xll.FDS(B46,"FF_EBITDA_OPER(ANN_R,0Y,,,,USD)")</f>
        <v>4235</v>
      </c>
      <c r="P46" s="46">
        <f t="array" ref="P46">_xll.FDS(B46,"FF_NET_INC(ANN_R,-1AY,,,,USD)")</f>
        <v>2358</v>
      </c>
      <c r="Q46" s="46">
        <f t="array" ref="Q46">_xll.FDS(B46,"FF_NET_INC(ANN_R,0Y,,,,USD)")</f>
        <v>3083</v>
      </c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</row>
    <row r="47" spans="1:29" x14ac:dyDescent="0.25">
      <c r="B47" s="43" t="s">
        <v>64</v>
      </c>
      <c r="C47" s="82" t="str">
        <f t="array" ref="C47">_xll.FDS(B47,"FG_COMPANY_NAME")</f>
        <v>Hilton Worldwide Holdings Inc.</v>
      </c>
      <c r="D47" s="78">
        <f t="array" ref="D47">_xll.FDS(B47,"FG_PRICE(0,,,USD)")</f>
        <v>213.18</v>
      </c>
      <c r="E47" s="46">
        <f t="array" ref="E47">_xll.FDS(B47,"FCS_SHARES(TOT,SHS,ANN,0,,,,,M)")</f>
        <v>256.67142999999999</v>
      </c>
      <c r="F47" s="46">
        <f t="shared" si="23"/>
        <v>54717.215447399998</v>
      </c>
      <c r="G47" s="46">
        <f t="shared" si="24"/>
        <v>64245.215447399998</v>
      </c>
      <c r="H47" s="24">
        <f t="array" ref="H47">_xll.FDS(B47,"FF_CASH_ST(QTR_R,0)")</f>
        <v>1420</v>
      </c>
      <c r="I47" s="24">
        <f t="array" ref="I47">_xll.FDS(B47,"FF_DEBT(QTR_R,0)")</f>
        <v>10948</v>
      </c>
      <c r="K47" s="46">
        <f t="array" ref="K47">_xll.FDS(B47,"FF_SALES(ANN_R,-2AY,,,,USD)")</f>
        <v>5788</v>
      </c>
      <c r="L47" s="46">
        <f t="array" ref="L47">_xll.FDS(B47,"FF_SALES(ANN_R,-1AY,,,,USD)")</f>
        <v>8773</v>
      </c>
      <c r="M47" s="46">
        <f t="array" ref="M47">_xll.FDS(B47,"FF_SALES(ANN_R,0Y,,,,USD)")</f>
        <v>10235</v>
      </c>
      <c r="N47" s="46">
        <f t="array" ref="N47">_xll.FDS(B47,"FF_EBITDA_OPER(ANN_R,-1AY,,,,USD)")</f>
        <v>2256</v>
      </c>
      <c r="O47" s="46">
        <f t="array" ref="O47">_xll.FDS(B47,"FF_EBITDA_OPER(ANN_R,0Y,,,,USD)")</f>
        <v>2410</v>
      </c>
      <c r="P47" s="46">
        <f t="array" ref="P47">_xll.FDS(B47,"FF_NET_INC(ANN_R,-1AY,,,,USD)")</f>
        <v>1255</v>
      </c>
      <c r="Q47" s="46">
        <f t="array" ref="Q47">_xll.FDS(B47,"FF_NET_INC(ANN_R,0Y,,,,USD)")</f>
        <v>1141</v>
      </c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  <row r="48" spans="1:29" x14ac:dyDescent="0.25">
      <c r="B48" s="43" t="s">
        <v>65</v>
      </c>
      <c r="C48" s="82" t="str">
        <f t="array" ref="C48">_xll.FDS(B48,"FG_COMPANY_NAME")</f>
        <v>Wyndham Hotels &amp; Resorts, Inc.</v>
      </c>
      <c r="D48" s="78">
        <f t="array" ref="D48">_xll.FDS(B48,"FG_PRICE(0,,,USD)")</f>
        <v>76.599999999999994</v>
      </c>
      <c r="E48" s="46">
        <f t="array" ref="E48">_xll.FDS(B48,"FCS_SHARES(TOT,SHS,ANN,0,,,,,M)")</f>
        <v>83.204937000000001</v>
      </c>
      <c r="F48" s="46">
        <f t="shared" si="23"/>
        <v>6373.4981742</v>
      </c>
      <c r="G48" s="46">
        <f>F48+I48-H48</f>
        <v>8730.4981742</v>
      </c>
      <c r="H48" s="24">
        <f t="array" ref="H48">_xll.FDS(B48,"FF_CASH_ST(QTR_R,0)")</f>
        <v>70</v>
      </c>
      <c r="I48" s="24">
        <f t="array" ref="I48">_xll.FDS(B48,"FF_DEBT(QTR_R,0)")</f>
        <v>2427</v>
      </c>
      <c r="K48" s="46">
        <f t="array" ref="K48">_xll.FDS(B48,"FF_SALES(ANN_R,-2AY,,,,USD)")</f>
        <v>1576</v>
      </c>
      <c r="L48" s="46">
        <f t="array" ref="L48">_xll.FDS(B48,"FF_SALES(ANN_R,-1AY,,,,USD)")</f>
        <v>1510</v>
      </c>
      <c r="M48" s="46">
        <f t="array" ref="M48">_xll.FDS(B48,"FF_SALES(ANN_R,0Y,,,,USD)")</f>
        <v>1397</v>
      </c>
      <c r="N48" s="46">
        <f t="array" ref="N48">_xll.FDS(B48,"FF_EBITDA_OPER(ANN_R,-1AY,,,,USD)")</f>
        <v>599</v>
      </c>
      <c r="O48" s="46">
        <f t="array" ref="O48">_xll.FDS(B48,"FF_EBITDA_OPER(ANN_R,0Y,,,,USD)")</f>
        <v>555</v>
      </c>
      <c r="P48" s="46">
        <f t="array" ref="P48">_xll.FDS(B48,"FF_NET_INC(ANN_R,-1AY,,,,USD)")</f>
        <v>355</v>
      </c>
      <c r="Q48" s="46">
        <f t="array" ref="Q48">_xll.FDS(B48,"FF_NET_INC(ANN_R,0Y,,,,USD)")</f>
        <v>289</v>
      </c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</row>
    <row r="49" spans="2:29" x14ac:dyDescent="0.25">
      <c r="B49" s="43" t="s">
        <v>66</v>
      </c>
      <c r="C49" s="82" t="str">
        <f t="array" ref="C49">_xll.FDS(B49,"FG_COMPANY_NAME")</f>
        <v>H World Group Limited Sponsored ADR</v>
      </c>
      <c r="D49" s="78">
        <f t="array" ref="D49">_xll.FDS(B49,"FG_PRICE(0,,,USD)")</f>
        <v>31.1</v>
      </c>
      <c r="E49" s="46">
        <f t="array" ref="E49">_xll.FDS(B49,"FCS_SHARES(TOT,SHS,ANN,0,,,,,M)")</f>
        <v>3258.8728489999999</v>
      </c>
      <c r="F49" s="46">
        <f t="shared" si="23"/>
        <v>101350.94560390001</v>
      </c>
      <c r="G49" s="46">
        <f t="shared" ref="G49" si="25">F49+I49-H49</f>
        <v>105193.51801879035</v>
      </c>
      <c r="H49" s="24">
        <f t="array" ref="H49">_xll.FDS(B49,"FF_CASH_ST(QTR_R,0)")</f>
        <v>1151.3050937743999</v>
      </c>
      <c r="I49" s="24">
        <f t="array" ref="I49">_xll.FDS(B49,"FF_DEBT(QTR_R,0)")</f>
        <v>4993.8775086647402</v>
      </c>
      <c r="K49" s="46">
        <f t="array" ref="K49">_xll.FDS(B49,"FF_SALES(ANN_R,-2AY,,,,USD)")</f>
        <v>1982.36776482153</v>
      </c>
      <c r="L49" s="46">
        <f t="array" ref="L49">_xll.FDS(B49,"FF_SALES(ANN_R,-1AY,,,,USD)")</f>
        <v>2058.5965034673</v>
      </c>
      <c r="M49" s="46">
        <f t="array" ref="M49">_xll.FDS(B49,"FF_SALES(ANN_R,0Y,,,,USD)")</f>
        <v>3088.4843573395201</v>
      </c>
      <c r="N49" s="46">
        <f t="array" ref="N49">_xll.FDS(B49,"FF_EBITDA_OPER(ANN_R,-1AY,,,,USD)")</f>
        <v>108.1127</v>
      </c>
      <c r="O49" s="46">
        <f t="array" ref="O49">_xll.FDS(B49,"FF_EBITDA_OPER(ANN_R,0Y,,,,USD)")</f>
        <v>805.0779</v>
      </c>
      <c r="P49" s="46">
        <f t="array" ref="P49">_xll.FDS(B49,"FF_NET_INC(ANN_R,-1AY,,,,USD)")</f>
        <v>-270.43025774159298</v>
      </c>
      <c r="Q49" s="46">
        <f t="array" ref="Q49">_xll.FDS(B49,"FF_NET_INC(ANN_R,0Y,,,,USD)")</f>
        <v>576.56789140535295</v>
      </c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</row>
    <row r="50" spans="2:29" x14ac:dyDescent="0.25">
      <c r="B50" s="43"/>
      <c r="D50" s="78"/>
      <c r="E50" s="46"/>
      <c r="F50" s="46"/>
      <c r="G50" s="46"/>
      <c r="K50" s="46"/>
      <c r="L50" s="46"/>
      <c r="M50" s="46"/>
      <c r="N50" s="46"/>
      <c r="O50" s="46"/>
      <c r="P50" s="46"/>
      <c r="Q50" s="4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</row>
    <row r="51" spans="2:29" x14ac:dyDescent="0.25">
      <c r="B51" s="43"/>
      <c r="D51" s="78"/>
      <c r="E51" s="46"/>
      <c r="F51" s="46"/>
      <c r="G51" s="46"/>
      <c r="K51" s="46"/>
      <c r="L51" s="46"/>
      <c r="M51" s="46"/>
      <c r="N51" s="46"/>
      <c r="O51" s="46"/>
      <c r="P51" s="46"/>
      <c r="Q51" s="4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</row>
    <row r="52" spans="2:29" ht="18" x14ac:dyDescent="0.25">
      <c r="B52" s="43"/>
      <c r="D52" s="78"/>
      <c r="E52" s="30" t="s">
        <v>9</v>
      </c>
      <c r="F52" s="30"/>
      <c r="G52" s="30"/>
      <c r="H52" s="30" t="s">
        <v>18</v>
      </c>
      <c r="I52" s="30"/>
      <c r="J52" s="30" t="s">
        <v>19</v>
      </c>
      <c r="K52" s="30"/>
      <c r="L52" s="46"/>
      <c r="M52" s="46"/>
      <c r="N52" s="46"/>
      <c r="O52" s="46"/>
      <c r="P52" s="46"/>
      <c r="Q52" s="4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</row>
    <row r="53" spans="2:29" x14ac:dyDescent="0.25">
      <c r="B53" s="43"/>
      <c r="D53" s="78"/>
      <c r="E53" s="33" t="s">
        <v>32</v>
      </c>
      <c r="F53" s="33" t="s">
        <v>33</v>
      </c>
      <c r="G53" s="33" t="s">
        <v>34</v>
      </c>
      <c r="H53" s="33" t="s">
        <v>35</v>
      </c>
      <c r="I53" s="33" t="s">
        <v>36</v>
      </c>
      <c r="J53" s="33" t="str">
        <f>H53</f>
        <v>'22</v>
      </c>
      <c r="K53" s="33" t="str">
        <f>I53</f>
        <v>'23</v>
      </c>
      <c r="L53" s="46"/>
      <c r="M53" s="46"/>
      <c r="N53" s="46"/>
      <c r="O53" s="46"/>
      <c r="P53" s="46"/>
      <c r="Q53" s="4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</row>
    <row r="54" spans="2:29" x14ac:dyDescent="0.25">
      <c r="B54" s="43"/>
      <c r="D54" s="78" t="str">
        <f>B39</f>
        <v>ABNB-US</v>
      </c>
      <c r="E54" s="83">
        <f>K39</f>
        <v>5991.76</v>
      </c>
      <c r="F54" s="83">
        <f t="shared" ref="F54:K57" si="26">L39</f>
        <v>8399</v>
      </c>
      <c r="G54" s="83">
        <f t="shared" si="26"/>
        <v>9917</v>
      </c>
      <c r="H54" s="83">
        <f t="shared" si="26"/>
        <v>1968.3</v>
      </c>
      <c r="I54" s="83">
        <f t="shared" si="26"/>
        <v>1565</v>
      </c>
      <c r="J54" s="83">
        <f t="shared" si="26"/>
        <v>1893</v>
      </c>
      <c r="K54" s="83">
        <f t="shared" si="26"/>
        <v>4792</v>
      </c>
      <c r="L54" s="46"/>
      <c r="M54" s="46"/>
      <c r="N54" s="46"/>
      <c r="O54" s="46"/>
      <c r="P54" s="46"/>
      <c r="Q54" s="4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 spans="2:29" x14ac:dyDescent="0.25">
      <c r="B55" s="43"/>
      <c r="D55" s="78" t="str">
        <f t="shared" ref="D55:D57" si="27">B40</f>
        <v>BKNG-US</v>
      </c>
      <c r="E55" s="83">
        <f t="shared" ref="E55:E57" si="28">K40</f>
        <v>10958</v>
      </c>
      <c r="F55" s="83">
        <f t="shared" si="26"/>
        <v>17090</v>
      </c>
      <c r="G55" s="83">
        <f t="shared" si="26"/>
        <v>21365</v>
      </c>
      <c r="H55" s="83">
        <f t="shared" si="26"/>
        <v>5510</v>
      </c>
      <c r="I55" s="83">
        <f t="shared" si="26"/>
        <v>6505</v>
      </c>
      <c r="J55" s="83">
        <f t="shared" si="26"/>
        <v>3058</v>
      </c>
      <c r="K55" s="83">
        <f t="shared" si="26"/>
        <v>4289</v>
      </c>
      <c r="L55" s="46"/>
      <c r="M55" s="46"/>
      <c r="N55" s="46"/>
      <c r="O55" s="46"/>
      <c r="P55" s="46"/>
      <c r="Q55" s="4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 spans="2:29" x14ac:dyDescent="0.25">
      <c r="B56" s="43"/>
      <c r="D56" s="78" t="str">
        <f t="shared" si="27"/>
        <v>EXPE-US</v>
      </c>
      <c r="E56" s="83">
        <f t="shared" si="28"/>
        <v>8598</v>
      </c>
      <c r="F56" s="83">
        <f t="shared" si="26"/>
        <v>11667</v>
      </c>
      <c r="G56" s="83">
        <f t="shared" si="26"/>
        <v>12839</v>
      </c>
      <c r="H56" s="83">
        <f t="shared" si="26"/>
        <v>1958</v>
      </c>
      <c r="I56" s="83">
        <f t="shared" si="26"/>
        <v>2266</v>
      </c>
      <c r="J56" s="83">
        <f t="shared" si="26"/>
        <v>352</v>
      </c>
      <c r="K56" s="83">
        <f t="shared" si="26"/>
        <v>797</v>
      </c>
      <c r="L56" s="46"/>
      <c r="M56" s="46"/>
      <c r="N56" s="46"/>
      <c r="O56" s="46"/>
      <c r="P56" s="46"/>
      <c r="Q56" s="4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</row>
    <row r="57" spans="2:29" x14ac:dyDescent="0.25">
      <c r="B57" s="43"/>
      <c r="D57" s="78" t="str">
        <f t="shared" si="27"/>
        <v>TCOM-US</v>
      </c>
      <c r="E57" s="83">
        <f t="shared" si="28"/>
        <v>3104.64996128443</v>
      </c>
      <c r="F57" s="83">
        <f t="shared" si="26"/>
        <v>2975.9208868115202</v>
      </c>
      <c r="G57" s="83">
        <f t="shared" si="26"/>
        <v>6282.2611619222198</v>
      </c>
      <c r="H57" s="83">
        <f t="shared" si="26"/>
        <v>204.79041000000001</v>
      </c>
      <c r="I57" s="83">
        <f t="shared" si="26"/>
        <v>1746.7819400000001</v>
      </c>
      <c r="J57" s="83">
        <f t="shared" si="26"/>
        <v>208.354558820129</v>
      </c>
      <c r="K57" s="83">
        <f t="shared" si="26"/>
        <v>1399.8532061097401</v>
      </c>
      <c r="L57" s="46"/>
      <c r="M57" s="46"/>
      <c r="N57" s="46"/>
      <c r="O57" s="46"/>
      <c r="P57" s="46"/>
      <c r="Q57" s="4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</row>
    <row r="58" spans="2:29" x14ac:dyDescent="0.25">
      <c r="B58" s="43"/>
      <c r="D58" s="78" t="str">
        <f>B45</f>
        <v>TRIP-US</v>
      </c>
      <c r="E58" s="83">
        <f t="shared" ref="E58:K62" si="29">K45</f>
        <v>902</v>
      </c>
      <c r="F58" s="83">
        <f t="shared" si="29"/>
        <v>1492</v>
      </c>
      <c r="G58" s="83">
        <f t="shared" si="29"/>
        <v>1788</v>
      </c>
      <c r="H58" s="83">
        <f t="shared" si="29"/>
        <v>206</v>
      </c>
      <c r="I58" s="83">
        <f t="shared" si="29"/>
        <v>238</v>
      </c>
      <c r="J58" s="83">
        <f t="shared" si="29"/>
        <v>20</v>
      </c>
      <c r="K58" s="83">
        <f t="shared" si="29"/>
        <v>10</v>
      </c>
      <c r="L58" s="46"/>
      <c r="M58" s="46"/>
      <c r="N58" s="46"/>
      <c r="O58" s="46"/>
      <c r="P58" s="46"/>
      <c r="Q58" s="4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</row>
    <row r="59" spans="2:29" x14ac:dyDescent="0.25">
      <c r="B59" s="43"/>
      <c r="D59" s="78" t="str">
        <f>B46</f>
        <v>MAR-US</v>
      </c>
      <c r="E59" s="83">
        <f t="shared" si="29"/>
        <v>13857</v>
      </c>
      <c r="F59" s="83">
        <f t="shared" si="29"/>
        <v>20773</v>
      </c>
      <c r="G59" s="83">
        <f t="shared" si="29"/>
        <v>23713</v>
      </c>
      <c r="H59" s="83">
        <f t="shared" si="29"/>
        <v>3833</v>
      </c>
      <c r="I59" s="83">
        <f t="shared" si="29"/>
        <v>4235</v>
      </c>
      <c r="J59" s="83">
        <f t="shared" si="29"/>
        <v>2358</v>
      </c>
      <c r="K59" s="83">
        <f t="shared" si="29"/>
        <v>3083</v>
      </c>
      <c r="L59" s="46"/>
      <c r="M59" s="46"/>
      <c r="N59" s="46"/>
      <c r="O59" s="46"/>
      <c r="P59" s="46"/>
      <c r="Q59" s="4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</row>
    <row r="60" spans="2:29" x14ac:dyDescent="0.25">
      <c r="B60" s="43"/>
      <c r="D60" s="78" t="str">
        <f>B47</f>
        <v>HLT-US</v>
      </c>
      <c r="E60" s="83">
        <f t="shared" si="29"/>
        <v>5788</v>
      </c>
      <c r="F60" s="83">
        <f t="shared" si="29"/>
        <v>8773</v>
      </c>
      <c r="G60" s="83">
        <f t="shared" si="29"/>
        <v>10235</v>
      </c>
      <c r="H60" s="83">
        <f t="shared" si="29"/>
        <v>2256</v>
      </c>
      <c r="I60" s="83">
        <f t="shared" si="29"/>
        <v>2410</v>
      </c>
      <c r="J60" s="83">
        <f t="shared" si="29"/>
        <v>1255</v>
      </c>
      <c r="K60" s="83">
        <f t="shared" si="29"/>
        <v>1141</v>
      </c>
      <c r="L60" s="46"/>
      <c r="M60" s="46"/>
      <c r="N60" s="46"/>
      <c r="O60" s="46"/>
      <c r="P60" s="49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</row>
    <row r="61" spans="2:29" x14ac:dyDescent="0.25">
      <c r="B61" s="43"/>
      <c r="D61" s="78" t="str">
        <f>B48</f>
        <v>WH-US</v>
      </c>
      <c r="E61" s="83">
        <f t="shared" si="29"/>
        <v>1576</v>
      </c>
      <c r="F61" s="83">
        <f t="shared" si="29"/>
        <v>1510</v>
      </c>
      <c r="G61" s="83">
        <f t="shared" si="29"/>
        <v>1397</v>
      </c>
      <c r="H61" s="83">
        <f t="shared" si="29"/>
        <v>599</v>
      </c>
      <c r="I61" s="83">
        <f t="shared" si="29"/>
        <v>555</v>
      </c>
      <c r="J61" s="83">
        <f t="shared" si="29"/>
        <v>355</v>
      </c>
      <c r="K61" s="83">
        <f t="shared" si="29"/>
        <v>289</v>
      </c>
      <c r="L61" s="46"/>
      <c r="M61" s="46"/>
      <c r="N61" s="46"/>
      <c r="O61" s="46"/>
      <c r="P61" s="49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</row>
    <row r="62" spans="2:29" x14ac:dyDescent="0.25">
      <c r="B62" s="43"/>
      <c r="D62" s="78" t="str">
        <f>B49</f>
        <v>HTHT-US</v>
      </c>
      <c r="E62" s="83">
        <f t="shared" si="29"/>
        <v>1982.36776482153</v>
      </c>
      <c r="F62" s="83">
        <f t="shared" si="29"/>
        <v>2058.5965034673</v>
      </c>
      <c r="G62" s="83">
        <f t="shared" si="29"/>
        <v>3088.4843573395201</v>
      </c>
      <c r="H62" s="83">
        <f t="shared" si="29"/>
        <v>108.1127</v>
      </c>
      <c r="I62" s="83">
        <f t="shared" si="29"/>
        <v>805.0779</v>
      </c>
      <c r="J62" s="83">
        <f t="shared" si="29"/>
        <v>-270.43025774159298</v>
      </c>
      <c r="K62" s="83">
        <f t="shared" si="29"/>
        <v>576.56789140535295</v>
      </c>
      <c r="L62" s="46"/>
      <c r="M62" s="46"/>
      <c r="N62" s="46"/>
      <c r="O62" s="46"/>
      <c r="P62" s="49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</row>
    <row r="63" spans="2:29" x14ac:dyDescent="0.25">
      <c r="B63" s="43"/>
      <c r="D63" s="78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9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</row>
    <row r="64" spans="2:29" x14ac:dyDescent="0.25">
      <c r="B64" s="43"/>
      <c r="D64" s="84" t="s">
        <v>7</v>
      </c>
      <c r="E64" s="46">
        <f t="shared" ref="E64:K64" si="30">SUM(E54:E62)</f>
        <v>52757.77772610596</v>
      </c>
      <c r="F64" s="46">
        <f t="shared" si="30"/>
        <v>74738.517390278823</v>
      </c>
      <c r="G64" s="46">
        <f t="shared" si="30"/>
        <v>90624.745519261734</v>
      </c>
      <c r="H64" s="46">
        <f t="shared" si="30"/>
        <v>16643.203109999999</v>
      </c>
      <c r="I64" s="46">
        <f t="shared" si="30"/>
        <v>20325.859840000001</v>
      </c>
      <c r="J64" s="46">
        <f t="shared" si="30"/>
        <v>9228.9243010785358</v>
      </c>
      <c r="K64" s="46">
        <f t="shared" si="30"/>
        <v>16377.421097515093</v>
      </c>
      <c r="L64" s="46"/>
      <c r="M64" s="46"/>
      <c r="N64" s="46"/>
      <c r="O64" s="46"/>
      <c r="P64" s="49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</row>
    <row r="65" spans="2:29" x14ac:dyDescent="0.25">
      <c r="B65" s="43"/>
      <c r="L65" s="46"/>
      <c r="M65" s="46"/>
      <c r="N65" s="46"/>
      <c r="O65" s="46"/>
      <c r="P65" s="49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</row>
    <row r="66" spans="2:29" x14ac:dyDescent="0.25">
      <c r="B66" s="43"/>
      <c r="D66" s="21" t="s">
        <v>67</v>
      </c>
      <c r="E66" s="85">
        <f t="shared" ref="E66:K66" si="31">E54/E64</f>
        <v>0.11357112179945208</v>
      </c>
      <c r="F66" s="85">
        <f t="shared" si="31"/>
        <v>0.11237846686389381</v>
      </c>
      <c r="G66" s="85">
        <f>G54/G64</f>
        <v>0.10942927280156833</v>
      </c>
      <c r="H66" s="85">
        <f t="shared" si="31"/>
        <v>0.1182644943398759</v>
      </c>
      <c r="I66" s="85">
        <f t="shared" si="31"/>
        <v>7.6995512727101437E-2</v>
      </c>
      <c r="J66" s="85">
        <f t="shared" si="31"/>
        <v>0.20511599599736396</v>
      </c>
      <c r="K66" s="85">
        <f t="shared" si="31"/>
        <v>0.29259795980498288</v>
      </c>
      <c r="L66" s="46"/>
      <c r="M66" s="46"/>
      <c r="N66" s="46"/>
      <c r="O66" s="46"/>
      <c r="P66" s="47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</row>
    <row r="67" spans="2:29" x14ac:dyDescent="0.25">
      <c r="B67" s="43"/>
      <c r="D67" s="21"/>
      <c r="E67" s="64" t="s">
        <v>53</v>
      </c>
      <c r="F67" s="85">
        <f>F66-E66</f>
        <v>-1.1926549355582711E-3</v>
      </c>
      <c r="G67" s="85">
        <f>G66-F66</f>
        <v>-2.9491940623254803E-3</v>
      </c>
      <c r="I67" s="86"/>
      <c r="J67" s="86"/>
      <c r="K67" s="86"/>
      <c r="L67" s="46"/>
      <c r="M67" s="46"/>
      <c r="N67" s="46"/>
      <c r="O67" s="46"/>
      <c r="P67" s="49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</row>
    <row r="68" spans="2:29" x14ac:dyDescent="0.25">
      <c r="B68" s="43"/>
      <c r="D68" s="21"/>
      <c r="E68" s="46"/>
      <c r="F68" s="46"/>
      <c r="G68" s="46"/>
      <c r="I68" s="86"/>
      <c r="J68" s="86"/>
      <c r="K68" s="86"/>
      <c r="L68" s="46"/>
      <c r="M68" s="46"/>
      <c r="N68" s="46"/>
      <c r="O68" s="46"/>
      <c r="P68" s="49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2:29" x14ac:dyDescent="0.25">
      <c r="B69" s="43"/>
      <c r="L69" s="46"/>
      <c r="M69" s="46"/>
      <c r="N69" s="46"/>
      <c r="O69" s="46"/>
      <c r="P69" s="49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2:29" x14ac:dyDescent="0.25">
      <c r="B70" s="43"/>
      <c r="L70" s="46"/>
      <c r="M70" s="46"/>
      <c r="N70" s="46"/>
      <c r="O70" s="46"/>
      <c r="P70" s="49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2:29" x14ac:dyDescent="0.25">
      <c r="B71" s="43"/>
      <c r="E71" s="49"/>
      <c r="F71" s="36"/>
      <c r="G71" s="36"/>
      <c r="H71" s="36"/>
      <c r="I71" s="36"/>
      <c r="J71" s="36"/>
      <c r="K71" s="36"/>
      <c r="O71" s="46"/>
      <c r="P71" s="49"/>
      <c r="Q71" s="36"/>
      <c r="R71" s="36"/>
      <c r="S71" s="36"/>
      <c r="T71" s="36"/>
      <c r="U71" s="36"/>
      <c r="V71" s="36"/>
      <c r="W71" s="36"/>
      <c r="X71" s="36"/>
      <c r="Y71" s="36"/>
      <c r="Z71" s="79"/>
      <c r="AA71" s="36"/>
      <c r="AB71" s="36"/>
      <c r="AC71" s="36"/>
    </row>
    <row r="72" spans="2:29" x14ac:dyDescent="0.25">
      <c r="B72" s="43"/>
      <c r="D72" s="21"/>
      <c r="E72" s="49"/>
      <c r="F72" s="36"/>
      <c r="G72" s="36"/>
      <c r="H72" s="36"/>
      <c r="I72" s="36"/>
      <c r="J72" s="36"/>
      <c r="K72" s="36"/>
      <c r="O72" s="46"/>
      <c r="P72" s="49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2:29" x14ac:dyDescent="0.25">
      <c r="B73" s="43"/>
      <c r="D73" s="21"/>
      <c r="E73" s="49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</row>
    <row r="74" spans="2:29" x14ac:dyDescent="0.25">
      <c r="B74" s="43"/>
      <c r="D74" s="21"/>
      <c r="E74" s="46"/>
      <c r="F74" s="46"/>
      <c r="G74" s="87"/>
      <c r="I74" s="46"/>
      <c r="J74" s="46"/>
      <c r="K74" s="46"/>
      <c r="L74" s="36"/>
      <c r="M74" s="36"/>
      <c r="N74" s="36"/>
      <c r="O74" s="36"/>
      <c r="P74" s="36"/>
      <c r="Q74" s="36"/>
      <c r="R74" s="36"/>
    </row>
    <row r="75" spans="2:29" x14ac:dyDescent="0.25">
      <c r="B75" s="43"/>
      <c r="I75" s="88"/>
      <c r="L75" s="36"/>
      <c r="M75" s="36"/>
      <c r="N75" s="36"/>
      <c r="O75" s="36"/>
      <c r="P75" s="36"/>
      <c r="Q75" s="36"/>
      <c r="R75" s="36"/>
    </row>
    <row r="76" spans="2:29" x14ac:dyDescent="0.25">
      <c r="B76" s="43"/>
      <c r="I76" s="88"/>
      <c r="L76" s="46"/>
      <c r="M76" s="46"/>
      <c r="N76" s="46"/>
      <c r="O76" s="46"/>
      <c r="P76" s="49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</row>
    <row r="77" spans="2:29" x14ac:dyDescent="0.25">
      <c r="B77" s="43"/>
      <c r="I77" s="46"/>
      <c r="L77" s="46"/>
      <c r="M77" s="46"/>
      <c r="N77" s="46"/>
      <c r="O77" s="46"/>
      <c r="P77" s="49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</row>
    <row r="78" spans="2:29" x14ac:dyDescent="0.25">
      <c r="B78" s="43"/>
      <c r="I78" s="46"/>
      <c r="L78" s="46"/>
      <c r="M78" s="46"/>
      <c r="N78" s="46"/>
      <c r="O78" s="46"/>
      <c r="P78" s="49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 spans="2:29" x14ac:dyDescent="0.25">
      <c r="B79" s="43"/>
      <c r="O79" s="46"/>
      <c r="P79" s="49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</row>
    <row r="80" spans="2:29" x14ac:dyDescent="0.25">
      <c r="B80" s="43"/>
      <c r="O80" s="46"/>
      <c r="P80" s="49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</row>
    <row r="81" spans="2:29" x14ac:dyDescent="0.25">
      <c r="B81" s="43"/>
      <c r="O81" s="46"/>
      <c r="P81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</row>
    <row r="82" spans="2:29" x14ac:dyDescent="0.25">
      <c r="B82" s="43"/>
      <c r="E82" s="89"/>
      <c r="F82" s="89"/>
      <c r="G82" s="89"/>
      <c r="H82" s="89"/>
      <c r="O82" s="49"/>
      <c r="P82" s="49"/>
      <c r="Q82" s="49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</row>
    <row r="83" spans="2:29" x14ac:dyDescent="0.25">
      <c r="B83" s="43"/>
      <c r="D83" s="24" t="s">
        <v>282</v>
      </c>
      <c r="E83" s="89"/>
      <c r="F83" s="89"/>
      <c r="G83" s="89"/>
      <c r="H83" s="89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</row>
    <row r="84" spans="2:29" x14ac:dyDescent="0.25">
      <c r="B84" s="43"/>
      <c r="E84" s="89"/>
      <c r="F84" s="89"/>
      <c r="G84" s="89"/>
      <c r="H84" s="89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</row>
    <row r="85" spans="2:29" ht="15.75" customHeight="1" x14ac:dyDescent="0.25">
      <c r="B85" s="43"/>
      <c r="E85" s="89"/>
      <c r="F85" s="89"/>
      <c r="G85" s="89"/>
      <c r="H85" s="89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</row>
    <row r="86" spans="2:29" ht="15.75" customHeight="1" x14ac:dyDescent="0.25">
      <c r="B86" s="43"/>
      <c r="E86" s="89"/>
      <c r="F86" s="89"/>
      <c r="G86" s="89"/>
      <c r="H86" s="89"/>
      <c r="R86" s="49"/>
      <c r="S86" s="49"/>
      <c r="T86" s="49"/>
      <c r="U86" s="49"/>
      <c r="V86" s="49"/>
      <c r="W86" s="49"/>
      <c r="X86" s="48"/>
      <c r="Y86" s="48"/>
      <c r="Z86" s="48"/>
      <c r="AA86" s="48"/>
      <c r="AB86" s="48"/>
      <c r="AC86" s="48"/>
    </row>
    <row r="87" spans="2:29" x14ac:dyDescent="0.25">
      <c r="E87" s="89"/>
      <c r="F87" s="89"/>
      <c r="G87" s="89"/>
      <c r="H87" s="89"/>
    </row>
    <row r="88" spans="2:29" x14ac:dyDescent="0.25">
      <c r="E88" s="89"/>
      <c r="F88" s="89"/>
      <c r="G88" s="89"/>
      <c r="H88" s="89"/>
    </row>
    <row r="89" spans="2:29" x14ac:dyDescent="0.25">
      <c r="E89" s="89"/>
      <c r="F89" s="89"/>
      <c r="G89" s="89"/>
      <c r="H89" s="89"/>
    </row>
    <row r="90" spans="2:29" x14ac:dyDescent="0.25">
      <c r="E90" s="89"/>
      <c r="F90" s="89"/>
      <c r="G90" s="89"/>
      <c r="H90" s="89"/>
    </row>
    <row r="95" spans="2:29" x14ac:dyDescent="0.25">
      <c r="I95" s="89"/>
      <c r="J95" s="89"/>
      <c r="K95" s="89"/>
    </row>
    <row r="96" spans="2:29" x14ac:dyDescent="0.25">
      <c r="I96" s="89"/>
      <c r="J96" s="89"/>
      <c r="K96" s="89"/>
    </row>
    <row r="97" spans="4:13" x14ac:dyDescent="0.25">
      <c r="I97" s="89"/>
      <c r="J97" s="89"/>
      <c r="K97" s="89"/>
      <c r="L97" s="89"/>
      <c r="M97" s="90"/>
    </row>
    <row r="98" spans="4:13" x14ac:dyDescent="0.25">
      <c r="I98" s="89"/>
      <c r="J98" s="89"/>
      <c r="K98" s="89"/>
      <c r="L98" s="89"/>
      <c r="M98" s="90"/>
    </row>
    <row r="99" spans="4:13" x14ac:dyDescent="0.25">
      <c r="I99" s="89"/>
      <c r="J99" s="89"/>
      <c r="K99" s="89"/>
      <c r="L99" s="89"/>
      <c r="M99" s="90"/>
    </row>
    <row r="100" spans="4:13" x14ac:dyDescent="0.25">
      <c r="I100" s="89"/>
      <c r="J100" s="89"/>
      <c r="K100" s="89"/>
      <c r="L100" s="89"/>
      <c r="M100" s="90"/>
    </row>
    <row r="101" spans="4:13" x14ac:dyDescent="0.25">
      <c r="I101" s="89"/>
      <c r="J101" s="89"/>
      <c r="K101" s="89"/>
      <c r="L101" s="89"/>
      <c r="M101" s="90"/>
    </row>
    <row r="102" spans="4:13" x14ac:dyDescent="0.25">
      <c r="I102" s="89"/>
      <c r="J102" s="89"/>
      <c r="K102" s="89"/>
      <c r="L102" s="89"/>
      <c r="M102" s="90"/>
    </row>
    <row r="103" spans="4:13" x14ac:dyDescent="0.25">
      <c r="I103" s="89"/>
      <c r="J103" s="89"/>
      <c r="K103" s="89"/>
      <c r="L103" s="89"/>
      <c r="M103" s="90"/>
    </row>
    <row r="104" spans="4:13" x14ac:dyDescent="0.25">
      <c r="L104" s="89"/>
    </row>
    <row r="105" spans="4:13" x14ac:dyDescent="0.25">
      <c r="L105" s="89"/>
    </row>
    <row r="109" spans="4:13" x14ac:dyDescent="0.25">
      <c r="D109" s="90"/>
    </row>
    <row r="110" spans="4:13" ht="15.75" customHeight="1" x14ac:dyDescent="0.25">
      <c r="D110" s="90"/>
    </row>
    <row r="111" spans="4:13" x14ac:dyDescent="0.25">
      <c r="D111" s="90"/>
    </row>
    <row r="112" spans="4:13" ht="15.75" customHeight="1" x14ac:dyDescent="0.25">
      <c r="D112" s="90"/>
    </row>
    <row r="113" spans="4:4" x14ac:dyDescent="0.25">
      <c r="D113" s="90"/>
    </row>
    <row r="114" spans="4:4" ht="18.75" customHeight="1" x14ac:dyDescent="0.25">
      <c r="D114" s="90"/>
    </row>
  </sheetData>
  <conditionalFormatting sqref="E71:E73 P67:P72 P76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:F73 Q67:Q72 Q76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:G73 R71:R72 R76:R80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1:H73 S71:S72 S76:S80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1:I73 T71:T72 T76:T80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:P23 P13:P18 P20:P21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1:J73 U71:U72 U76:U80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1:K73 V71:V72 V76:V80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2:P82 P77:P80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9:P21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0:P66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0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1:Q66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7:Q81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R21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2:R2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V21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2:V2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:R44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9:R4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7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8:R57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:R68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9:R70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1:R85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:V45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9:S44 S4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9:S4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6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7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8:S57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8:S59 S61:S70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8:S70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1:S85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:T21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2:T2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9:T44 T4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9:T4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6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7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8:T57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8:T59 T61:T70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8:T70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1:T85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9:U44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9:U4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7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8:U57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8:U70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1:U85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9:V41 V43:V44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39:V41 V43:V4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7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8:V57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8:V70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1:V85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9:X46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7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8:X57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:X68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9:X70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1:X72 X76:X80 M73:M75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1:X85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9:Y46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7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8:Y57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8:Y70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1:Y72 Y76:Y80 N73:N75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81:Y85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9:Z46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7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8:Z57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8:Z70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6:Z80 Z72 O73:O75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81:Z85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9:AA46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7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:AA57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8:AA70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1:AA72 AA76:AA80 P73:P75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1:AA85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9:AB46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7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8:AB57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8:AB68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9:AB70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1:AB72 AB76:AB80 Q73:Q75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1:AB85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9:AC46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7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8:AC57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58:AC68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9:AC70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1:AC72 AC76:AC80 R73:R75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81:AC85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1:X18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9:X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1:AC18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9:AC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1:Y18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Y18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9:Y2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1:Z1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3:Z18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9:Z2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:AA1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:AA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:AB12 AC11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:AB1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:AB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:AC18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:AC2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1:AC1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3:AC1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9:AC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8"/>
  <sheetViews>
    <sheetView zoomScale="80" zoomScaleNormal="80" workbookViewId="0">
      <selection activeCell="U24" sqref="U24"/>
    </sheetView>
  </sheetViews>
  <sheetFormatPr defaultRowHeight="15" x14ac:dyDescent="0.25"/>
  <cols>
    <col min="1" max="1" width="34.140625" bestFit="1" customWidth="1"/>
    <col min="2" max="8" width="11.28515625" bestFit="1" customWidth="1"/>
    <col min="9" max="9" width="10.7109375" customWidth="1"/>
    <col min="10" max="11" width="11.28515625" bestFit="1" customWidth="1"/>
    <col min="12" max="12" width="10.7109375" customWidth="1"/>
    <col min="13" max="14" width="11.28515625" bestFit="1" customWidth="1"/>
    <col min="16" max="17" width="11.28515625" bestFit="1" customWidth="1"/>
    <col min="19" max="19" width="11.28515625" bestFit="1" customWidth="1"/>
  </cols>
  <sheetData>
    <row r="2" spans="1:21" x14ac:dyDescent="0.25">
      <c r="A2" s="3" t="s">
        <v>1</v>
      </c>
      <c r="B2" s="4">
        <v>2017</v>
      </c>
      <c r="C2" s="4">
        <v>2018</v>
      </c>
      <c r="D2" s="4" t="s">
        <v>10</v>
      </c>
      <c r="E2" s="4">
        <v>2019</v>
      </c>
      <c r="F2" s="4" t="s">
        <v>10</v>
      </c>
      <c r="G2" s="4">
        <v>2020</v>
      </c>
      <c r="H2" s="4" t="s">
        <v>0</v>
      </c>
      <c r="I2" s="4" t="s">
        <v>10</v>
      </c>
      <c r="J2" s="4">
        <v>2021</v>
      </c>
      <c r="K2" s="4" t="s">
        <v>0</v>
      </c>
      <c r="L2" s="4" t="s">
        <v>10</v>
      </c>
      <c r="M2" s="4">
        <v>2022</v>
      </c>
      <c r="N2" s="4" t="s">
        <v>0</v>
      </c>
      <c r="O2" s="4" t="s">
        <v>10</v>
      </c>
      <c r="P2" s="4">
        <v>2023</v>
      </c>
      <c r="Q2" s="4" t="s">
        <v>0</v>
      </c>
      <c r="R2" s="4" t="s">
        <v>10</v>
      </c>
      <c r="S2" s="4">
        <v>2023</v>
      </c>
      <c r="T2" s="4" t="s">
        <v>0</v>
      </c>
      <c r="U2" s="5" t="s">
        <v>10</v>
      </c>
    </row>
    <row r="3" spans="1:21" ht="15" customHeight="1" x14ac:dyDescent="0.25">
      <c r="A3" s="6" t="s">
        <v>2</v>
      </c>
      <c r="B3" s="386"/>
      <c r="C3" s="386"/>
      <c r="D3" s="386"/>
      <c r="E3" s="386"/>
      <c r="F3" s="386"/>
      <c r="G3" s="386"/>
      <c r="H3" s="386"/>
      <c r="I3" s="386"/>
      <c r="J3" s="386"/>
      <c r="K3" s="386"/>
      <c r="L3" s="386"/>
      <c r="M3" s="386"/>
      <c r="N3" s="386"/>
      <c r="O3" s="386"/>
      <c r="P3" s="386"/>
      <c r="Q3" s="386"/>
      <c r="R3" s="386"/>
      <c r="S3" s="386"/>
      <c r="T3" s="386"/>
      <c r="U3" s="7"/>
    </row>
    <row r="4" spans="1:21" x14ac:dyDescent="0.25">
      <c r="A4" s="6" t="s">
        <v>3</v>
      </c>
      <c r="B4" s="386"/>
      <c r="C4" s="386"/>
      <c r="D4" s="8"/>
      <c r="E4" s="386"/>
      <c r="F4" s="8"/>
      <c r="G4" s="386">
        <v>75.5</v>
      </c>
      <c r="H4" s="386">
        <v>39</v>
      </c>
      <c r="I4" s="386"/>
      <c r="J4" s="386">
        <v>114</v>
      </c>
      <c r="K4" s="386">
        <v>38</v>
      </c>
      <c r="L4" s="9">
        <f>J4/G4-1</f>
        <v>0.50993377483443703</v>
      </c>
      <c r="M4" s="386">
        <v>133</v>
      </c>
      <c r="N4" s="386">
        <v>34</v>
      </c>
      <c r="O4" s="8">
        <f>M4/J4-1</f>
        <v>0.16666666666666674</v>
      </c>
      <c r="P4" s="386">
        <v>146</v>
      </c>
      <c r="Q4" s="386">
        <v>33</v>
      </c>
      <c r="R4" s="8">
        <f>P4/M4-1</f>
        <v>9.7744360902255689E-2</v>
      </c>
      <c r="S4" s="386"/>
      <c r="T4" s="386"/>
      <c r="U4" s="10"/>
    </row>
    <row r="5" spans="1:21" x14ac:dyDescent="0.25">
      <c r="A5" s="6" t="s">
        <v>4</v>
      </c>
      <c r="B5" s="386"/>
      <c r="C5" s="386"/>
      <c r="D5" s="8"/>
      <c r="E5" s="386"/>
      <c r="F5" s="8"/>
      <c r="G5" s="386">
        <v>67.7</v>
      </c>
      <c r="H5" s="386">
        <v>35</v>
      </c>
      <c r="I5" s="386"/>
      <c r="J5" s="386">
        <v>118.1</v>
      </c>
      <c r="K5" s="386">
        <v>39</v>
      </c>
      <c r="L5" s="9">
        <f t="shared" ref="L5:L21" si="0">J5/G5-1</f>
        <v>0.74446085672082707</v>
      </c>
      <c r="M5" s="386">
        <v>168</v>
      </c>
      <c r="N5" s="386">
        <v>43</v>
      </c>
      <c r="O5" s="8">
        <f t="shared" ref="O5:O22" si="1">M5/J5-1</f>
        <v>0.42252328535139716</v>
      </c>
      <c r="P5" s="386">
        <v>187</v>
      </c>
      <c r="Q5" s="386">
        <v>42</v>
      </c>
      <c r="R5" s="8">
        <f t="shared" ref="R5:R22" si="2">P5/M5-1</f>
        <v>0.11309523809523814</v>
      </c>
      <c r="S5" s="386"/>
      <c r="T5" s="386"/>
      <c r="U5" s="10"/>
    </row>
    <row r="6" spans="1:21" x14ac:dyDescent="0.25">
      <c r="A6" s="6" t="s">
        <v>5</v>
      </c>
      <c r="B6" s="386"/>
      <c r="C6" s="386"/>
      <c r="D6" s="8"/>
      <c r="E6" s="386"/>
      <c r="F6" s="8"/>
      <c r="G6" s="386">
        <v>22.4</v>
      </c>
      <c r="H6" s="386">
        <v>12</v>
      </c>
      <c r="I6" s="386"/>
      <c r="J6" s="386">
        <v>38.799999999999997</v>
      </c>
      <c r="K6" s="386">
        <v>13</v>
      </c>
      <c r="L6" s="9">
        <f t="shared" si="0"/>
        <v>0.73214285714285721</v>
      </c>
      <c r="M6" s="386">
        <v>53</v>
      </c>
      <c r="N6" s="386">
        <v>13</v>
      </c>
      <c r="O6" s="8">
        <f t="shared" si="1"/>
        <v>0.365979381443299</v>
      </c>
      <c r="P6" s="386">
        <v>64</v>
      </c>
      <c r="Q6" s="386">
        <v>14</v>
      </c>
      <c r="R6" s="8">
        <f t="shared" si="2"/>
        <v>0.20754716981132071</v>
      </c>
      <c r="S6" s="386"/>
      <c r="T6" s="386"/>
      <c r="U6" s="10"/>
    </row>
    <row r="7" spans="1:21" x14ac:dyDescent="0.25">
      <c r="A7" s="6" t="s">
        <v>6</v>
      </c>
      <c r="B7" s="386"/>
      <c r="C7" s="386"/>
      <c r="D7" s="8"/>
      <c r="E7" s="386"/>
      <c r="F7" s="8"/>
      <c r="G7" s="386">
        <v>27.6</v>
      </c>
      <c r="H7" s="386">
        <v>14</v>
      </c>
      <c r="I7" s="386"/>
      <c r="J7" s="386">
        <v>29.7</v>
      </c>
      <c r="K7" s="386">
        <v>10</v>
      </c>
      <c r="L7" s="9">
        <f t="shared" si="0"/>
        <v>7.6086956521739024E-2</v>
      </c>
      <c r="M7" s="386">
        <v>40</v>
      </c>
      <c r="N7" s="386">
        <v>10</v>
      </c>
      <c r="O7" s="8">
        <f t="shared" si="1"/>
        <v>0.34680134680134689</v>
      </c>
      <c r="P7" s="386">
        <v>51</v>
      </c>
      <c r="Q7" s="386">
        <v>11</v>
      </c>
      <c r="R7" s="8">
        <f t="shared" si="2"/>
        <v>0.27499999999999991</v>
      </c>
      <c r="S7" s="386"/>
      <c r="T7" s="386"/>
      <c r="U7" s="10"/>
    </row>
    <row r="8" spans="1:21" x14ac:dyDescent="0.25">
      <c r="A8" s="6" t="s">
        <v>7</v>
      </c>
      <c r="B8" s="386">
        <v>185.8</v>
      </c>
      <c r="C8" s="386">
        <v>250.3</v>
      </c>
      <c r="D8" s="8">
        <f>C8/B8-1</f>
        <v>0.34714747039827776</v>
      </c>
      <c r="E8" s="386">
        <v>326.89999999999998</v>
      </c>
      <c r="F8" s="8">
        <f>E8/C8-1</f>
        <v>0.30603276068717533</v>
      </c>
      <c r="G8" s="386">
        <v>193.2</v>
      </c>
      <c r="H8" s="386">
        <v>100</v>
      </c>
      <c r="I8" s="8">
        <f>G8/E8-1</f>
        <v>-0.4089935760171306</v>
      </c>
      <c r="J8" s="386">
        <v>300.60000000000002</v>
      </c>
      <c r="K8" s="386">
        <v>100</v>
      </c>
      <c r="L8" s="9">
        <f>J8/G8-1</f>
        <v>0.55590062111801264</v>
      </c>
      <c r="M8" s="386">
        <v>394</v>
      </c>
      <c r="N8" s="386">
        <v>100</v>
      </c>
      <c r="O8" s="8">
        <f t="shared" si="1"/>
        <v>0.31071190951430472</v>
      </c>
      <c r="P8" s="386">
        <v>448</v>
      </c>
      <c r="Q8" s="386">
        <v>100</v>
      </c>
      <c r="R8" s="8">
        <f t="shared" si="2"/>
        <v>0.13705583756345185</v>
      </c>
      <c r="S8" s="386"/>
      <c r="T8" s="386"/>
      <c r="U8" s="10"/>
    </row>
    <row r="9" spans="1:21" x14ac:dyDescent="0.25">
      <c r="A9" s="6"/>
      <c r="B9" s="386"/>
      <c r="C9" s="386"/>
      <c r="D9" s="8"/>
      <c r="E9" s="386"/>
      <c r="F9" s="8"/>
      <c r="G9" s="386"/>
      <c r="H9" s="386"/>
      <c r="I9" s="8"/>
      <c r="J9" s="386"/>
      <c r="K9" s="386"/>
      <c r="L9" s="9"/>
      <c r="M9" s="386"/>
      <c r="N9" s="386"/>
      <c r="O9" s="8"/>
      <c r="P9" s="386"/>
      <c r="Q9" s="386"/>
      <c r="R9" s="8"/>
      <c r="S9" s="386"/>
      <c r="T9" s="386"/>
      <c r="U9" s="10"/>
    </row>
    <row r="10" spans="1:21" x14ac:dyDescent="0.25">
      <c r="A10" s="6" t="s">
        <v>8</v>
      </c>
      <c r="B10" s="386"/>
      <c r="C10" s="386"/>
      <c r="D10" s="8"/>
      <c r="E10" s="386"/>
      <c r="F10" s="8"/>
      <c r="G10" s="386"/>
      <c r="H10" s="386"/>
      <c r="I10" s="8"/>
      <c r="J10" s="386"/>
      <c r="K10" s="386"/>
      <c r="L10" s="9"/>
      <c r="M10" s="386"/>
      <c r="N10" s="386"/>
      <c r="O10" s="8"/>
      <c r="P10" s="386"/>
      <c r="Q10" s="386"/>
      <c r="R10" s="8"/>
      <c r="S10" s="386"/>
      <c r="T10" s="386"/>
      <c r="U10" s="10"/>
    </row>
    <row r="11" spans="1:21" x14ac:dyDescent="0.25">
      <c r="A11" s="6" t="s">
        <v>3</v>
      </c>
      <c r="B11" s="387"/>
      <c r="C11" s="387"/>
      <c r="D11" s="8"/>
      <c r="E11" s="387"/>
      <c r="F11" s="8"/>
      <c r="G11" s="387">
        <v>13169.9</v>
      </c>
      <c r="H11" s="386">
        <v>55</v>
      </c>
      <c r="I11" s="8"/>
      <c r="J11" s="387">
        <v>25305.5</v>
      </c>
      <c r="K11" s="386">
        <v>54</v>
      </c>
      <c r="L11" s="9">
        <f t="shared" si="0"/>
        <v>0.92146485546587309</v>
      </c>
      <c r="M11" s="387">
        <v>32246</v>
      </c>
      <c r="N11" s="386">
        <v>51</v>
      </c>
      <c r="O11" s="8">
        <f t="shared" si="1"/>
        <v>0.27426843966726611</v>
      </c>
      <c r="P11" s="387">
        <v>34941</v>
      </c>
      <c r="Q11" s="386">
        <v>48</v>
      </c>
      <c r="R11" s="8">
        <f t="shared" si="2"/>
        <v>8.3576257520312502E-2</v>
      </c>
      <c r="S11" s="387"/>
      <c r="T11" s="386"/>
      <c r="U11" s="10"/>
    </row>
    <row r="12" spans="1:21" x14ac:dyDescent="0.25">
      <c r="A12" s="6" t="s">
        <v>4</v>
      </c>
      <c r="B12" s="388"/>
      <c r="C12" s="388"/>
      <c r="D12" s="8"/>
      <c r="E12" s="388"/>
      <c r="F12" s="8"/>
      <c r="G12" s="388">
        <v>6660.1</v>
      </c>
      <c r="H12" s="386">
        <v>28</v>
      </c>
      <c r="I12" s="8"/>
      <c r="J12" s="388">
        <v>14606.9</v>
      </c>
      <c r="K12" s="386">
        <v>31</v>
      </c>
      <c r="L12" s="9">
        <f t="shared" si="0"/>
        <v>1.1931952973679074</v>
      </c>
      <c r="M12" s="388">
        <v>21486</v>
      </c>
      <c r="N12" s="386">
        <v>34</v>
      </c>
      <c r="O12" s="8">
        <f t="shared" si="1"/>
        <v>0.47094866124913581</v>
      </c>
      <c r="P12" s="388">
        <v>26241</v>
      </c>
      <c r="Q12" s="386">
        <v>36</v>
      </c>
      <c r="R12" s="8">
        <f t="shared" si="2"/>
        <v>0.22130689751466082</v>
      </c>
      <c r="S12" s="388"/>
      <c r="T12" s="386"/>
      <c r="U12" s="10"/>
    </row>
    <row r="13" spans="1:21" x14ac:dyDescent="0.25">
      <c r="A13" s="6" t="s">
        <v>5</v>
      </c>
      <c r="B13" s="388"/>
      <c r="C13" s="388"/>
      <c r="D13" s="8"/>
      <c r="E13" s="388"/>
      <c r="F13" s="8"/>
      <c r="G13" s="388">
        <v>1700.8</v>
      </c>
      <c r="H13" s="386">
        <v>7</v>
      </c>
      <c r="I13" s="8"/>
      <c r="J13" s="388">
        <v>3706</v>
      </c>
      <c r="K13" s="386">
        <v>8</v>
      </c>
      <c r="L13" s="9">
        <f t="shared" si="0"/>
        <v>1.1789746001881469</v>
      </c>
      <c r="M13" s="388">
        <v>4838</v>
      </c>
      <c r="N13" s="386">
        <v>8</v>
      </c>
      <c r="O13" s="8">
        <f t="shared" si="1"/>
        <v>0.30545062061521855</v>
      </c>
      <c r="P13" s="388">
        <v>6054</v>
      </c>
      <c r="Q13" s="386">
        <v>8</v>
      </c>
      <c r="R13" s="8">
        <f t="shared" si="2"/>
        <v>0.25134353038445645</v>
      </c>
      <c r="S13" s="388"/>
      <c r="T13" s="386"/>
      <c r="U13" s="10"/>
    </row>
    <row r="14" spans="1:21" x14ac:dyDescent="0.25">
      <c r="A14" s="6" t="s">
        <v>6</v>
      </c>
      <c r="B14" s="388"/>
      <c r="C14" s="388"/>
      <c r="D14" s="8"/>
      <c r="E14" s="388"/>
      <c r="F14" s="8"/>
      <c r="G14" s="388">
        <v>2366.1</v>
      </c>
      <c r="H14" s="386">
        <v>10</v>
      </c>
      <c r="I14" s="8"/>
      <c r="J14" s="388">
        <v>3258.6</v>
      </c>
      <c r="K14" s="386">
        <v>7</v>
      </c>
      <c r="L14" s="9">
        <f t="shared" si="0"/>
        <v>0.37720299226575382</v>
      </c>
      <c r="M14" s="388">
        <v>4642</v>
      </c>
      <c r="N14" s="386">
        <v>7</v>
      </c>
      <c r="O14" s="8">
        <f t="shared" si="1"/>
        <v>0.42453814521573685</v>
      </c>
      <c r="P14" s="388">
        <v>6016</v>
      </c>
      <c r="Q14" s="386">
        <v>8</v>
      </c>
      <c r="R14" s="8">
        <f t="shared" si="2"/>
        <v>0.2959931064196466</v>
      </c>
      <c r="S14" s="388"/>
      <c r="T14" s="386"/>
      <c r="U14" s="10"/>
    </row>
    <row r="15" spans="1:21" x14ac:dyDescent="0.25">
      <c r="A15" s="6" t="s">
        <v>7</v>
      </c>
      <c r="B15" s="387">
        <v>20975.3</v>
      </c>
      <c r="C15" s="387">
        <v>29440.7</v>
      </c>
      <c r="D15" s="8">
        <f>C15/B15-1</f>
        <v>0.40358898323265935</v>
      </c>
      <c r="E15" s="387">
        <v>37962.6</v>
      </c>
      <c r="F15" s="8">
        <f>E15/C15-1</f>
        <v>0.28945982941981674</v>
      </c>
      <c r="G15" s="387">
        <v>23896.9</v>
      </c>
      <c r="H15" s="386">
        <v>100</v>
      </c>
      <c r="I15" s="8">
        <f>G15/E15-1</f>
        <v>-0.37051466443288916</v>
      </c>
      <c r="J15" s="387">
        <v>46877</v>
      </c>
      <c r="K15" s="386">
        <v>100</v>
      </c>
      <c r="L15" s="9">
        <f t="shared" si="0"/>
        <v>0.9616351911754244</v>
      </c>
      <c r="M15" s="387">
        <v>63212</v>
      </c>
      <c r="N15" s="386">
        <v>100</v>
      </c>
      <c r="O15" s="8">
        <f t="shared" si="1"/>
        <v>0.34846513215436148</v>
      </c>
      <c r="P15" s="387">
        <v>73252</v>
      </c>
      <c r="Q15" s="386">
        <v>100</v>
      </c>
      <c r="R15" s="8">
        <f t="shared" si="2"/>
        <v>0.15883060178447139</v>
      </c>
      <c r="S15" s="387"/>
      <c r="T15" s="386"/>
      <c r="U15" s="10"/>
    </row>
    <row r="16" spans="1:21" x14ac:dyDescent="0.25">
      <c r="A16" s="6"/>
      <c r="B16" s="386"/>
      <c r="C16" s="386"/>
      <c r="D16" s="8"/>
      <c r="E16" s="386"/>
      <c r="F16" s="8"/>
      <c r="G16" s="386"/>
      <c r="H16" s="386"/>
      <c r="I16" s="8"/>
      <c r="J16" s="386"/>
      <c r="K16" s="386"/>
      <c r="L16" s="9"/>
      <c r="M16" s="386"/>
      <c r="N16" s="386"/>
      <c r="O16" s="8"/>
      <c r="P16" s="386"/>
      <c r="Q16" s="386"/>
      <c r="R16" s="8"/>
      <c r="S16" s="386"/>
      <c r="T16" s="386"/>
      <c r="U16" s="10"/>
    </row>
    <row r="17" spans="1:25" x14ac:dyDescent="0.25">
      <c r="A17" s="6" t="s">
        <v>9</v>
      </c>
      <c r="B17" s="386"/>
      <c r="C17" s="386"/>
      <c r="D17" s="8"/>
      <c r="E17" s="386"/>
      <c r="F17" s="8"/>
      <c r="G17" s="386"/>
      <c r="H17" s="386"/>
      <c r="I17" s="8"/>
      <c r="J17" s="386"/>
      <c r="K17" s="386"/>
      <c r="L17" s="9"/>
      <c r="M17" s="386"/>
      <c r="N17" s="386"/>
      <c r="O17" s="8"/>
      <c r="P17" s="386"/>
      <c r="Q17" s="386"/>
      <c r="R17" s="8"/>
      <c r="S17" s="386"/>
      <c r="T17" s="386"/>
      <c r="U17" s="10"/>
      <c r="Y17" s="1"/>
    </row>
    <row r="18" spans="1:25" x14ac:dyDescent="0.25">
      <c r="A18" s="6" t="s">
        <v>3</v>
      </c>
      <c r="B18" s="387"/>
      <c r="C18" s="387"/>
      <c r="D18" s="8"/>
      <c r="E18" s="387"/>
      <c r="F18" s="8"/>
      <c r="G18" s="387">
        <v>1772.7</v>
      </c>
      <c r="H18" s="386">
        <v>53</v>
      </c>
      <c r="I18" s="8"/>
      <c r="J18" s="387">
        <v>3201.1</v>
      </c>
      <c r="K18" s="386">
        <v>54</v>
      </c>
      <c r="L18" s="9">
        <f t="shared" si="0"/>
        <v>0.80577649912562754</v>
      </c>
      <c r="M18" s="387">
        <v>4210</v>
      </c>
      <c r="N18" s="386">
        <v>50</v>
      </c>
      <c r="O18" s="8">
        <f t="shared" si="1"/>
        <v>0.31517290931242381</v>
      </c>
      <c r="P18" s="387">
        <v>4638</v>
      </c>
      <c r="Q18" s="386">
        <v>47</v>
      </c>
      <c r="R18" s="8">
        <f t="shared" si="2"/>
        <v>0.10166270783847975</v>
      </c>
      <c r="S18" s="387">
        <f>MOD!AH6</f>
        <v>5010.04</v>
      </c>
      <c r="T18" s="392">
        <f>S18/$S$22*$T$22</f>
        <v>44.902085555266765</v>
      </c>
      <c r="U18" s="10">
        <f>S18/P18-1</f>
        <v>8.0215610176800345E-2</v>
      </c>
    </row>
    <row r="19" spans="1:25" x14ac:dyDescent="0.25">
      <c r="A19" s="6" t="s">
        <v>4</v>
      </c>
      <c r="B19" s="388"/>
      <c r="C19" s="388"/>
      <c r="D19" s="8"/>
      <c r="E19" s="388"/>
      <c r="F19" s="8"/>
      <c r="G19" s="388">
        <v>1023.8</v>
      </c>
      <c r="H19" s="386">
        <v>30</v>
      </c>
      <c r="I19" s="8"/>
      <c r="J19" s="388">
        <v>1930.8</v>
      </c>
      <c r="K19" s="386">
        <v>32</v>
      </c>
      <c r="L19" s="9">
        <f t="shared" si="0"/>
        <v>0.88591521781597971</v>
      </c>
      <c r="M19" s="388">
        <v>2924</v>
      </c>
      <c r="N19" s="386">
        <v>35</v>
      </c>
      <c r="O19" s="8">
        <f t="shared" si="1"/>
        <v>0.51439817692148337</v>
      </c>
      <c r="P19" s="388">
        <v>3615</v>
      </c>
      <c r="Q19" s="386">
        <v>36</v>
      </c>
      <c r="R19" s="8">
        <f t="shared" si="2"/>
        <v>0.23632010943912451</v>
      </c>
      <c r="S19" s="388">
        <f>MOD!AH8</f>
        <v>4163.3999999999996</v>
      </c>
      <c r="T19" s="392">
        <f t="shared" ref="T19:T21" si="3">S19/$S$22*$T$22</f>
        <v>37.314141803418266</v>
      </c>
      <c r="U19" s="10">
        <f t="shared" ref="U19:U22" si="4">S19/P19-1</f>
        <v>0.15170124481327796</v>
      </c>
    </row>
    <row r="20" spans="1:25" x14ac:dyDescent="0.25">
      <c r="A20" s="6" t="s">
        <v>5</v>
      </c>
      <c r="B20" s="386"/>
      <c r="C20" s="386"/>
      <c r="D20" s="8"/>
      <c r="E20" s="386"/>
      <c r="F20" s="8"/>
      <c r="G20" s="386">
        <v>242</v>
      </c>
      <c r="H20" s="386">
        <v>7</v>
      </c>
      <c r="I20" s="8"/>
      <c r="J20" s="386">
        <v>431.2</v>
      </c>
      <c r="K20" s="386">
        <v>7</v>
      </c>
      <c r="L20" s="9">
        <f t="shared" si="0"/>
        <v>0.78181818181818175</v>
      </c>
      <c r="M20" s="386">
        <v>643</v>
      </c>
      <c r="N20" s="386">
        <v>8</v>
      </c>
      <c r="O20" s="8">
        <f t="shared" si="1"/>
        <v>0.49118738404452689</v>
      </c>
      <c r="P20" s="386">
        <v>824</v>
      </c>
      <c r="Q20" s="386">
        <v>8</v>
      </c>
      <c r="R20" s="8">
        <f t="shared" si="2"/>
        <v>0.28149300155520995</v>
      </c>
      <c r="S20" s="391">
        <f>MOD!AH10</f>
        <v>1031.94</v>
      </c>
      <c r="T20" s="392">
        <f t="shared" si="3"/>
        <v>9.2486802835709891</v>
      </c>
      <c r="U20" s="10">
        <f t="shared" si="4"/>
        <v>0.25235436893203889</v>
      </c>
    </row>
    <row r="21" spans="1:25" x14ac:dyDescent="0.25">
      <c r="A21" s="6" t="s">
        <v>6</v>
      </c>
      <c r="B21" s="386"/>
      <c r="C21" s="386"/>
      <c r="D21" s="8"/>
      <c r="E21" s="386"/>
      <c r="F21" s="8"/>
      <c r="G21" s="386">
        <v>339.7</v>
      </c>
      <c r="H21" s="386">
        <v>10</v>
      </c>
      <c r="I21" s="8"/>
      <c r="J21" s="386">
        <v>428.7</v>
      </c>
      <c r="K21" s="386">
        <v>7</v>
      </c>
      <c r="L21" s="9">
        <f t="shared" si="0"/>
        <v>0.26199587871651464</v>
      </c>
      <c r="M21" s="386">
        <v>622</v>
      </c>
      <c r="N21" s="386">
        <v>7</v>
      </c>
      <c r="O21" s="8">
        <f t="shared" si="1"/>
        <v>0.4508980639141591</v>
      </c>
      <c r="P21" s="386">
        <v>840</v>
      </c>
      <c r="Q21" s="386">
        <v>9</v>
      </c>
      <c r="R21" s="8">
        <f t="shared" si="2"/>
        <v>0.35048231511254024</v>
      </c>
      <c r="S21" s="391">
        <f>MOD!AH12</f>
        <v>952.31999999999994</v>
      </c>
      <c r="T21" s="392">
        <f t="shared" si="3"/>
        <v>8.5350923577439808</v>
      </c>
      <c r="U21" s="10">
        <f t="shared" si="4"/>
        <v>0.13371428571428567</v>
      </c>
    </row>
    <row r="22" spans="1:25" x14ac:dyDescent="0.25">
      <c r="A22" s="11" t="s">
        <v>7</v>
      </c>
      <c r="B22" s="12">
        <v>2561.6999999999998</v>
      </c>
      <c r="C22" s="12">
        <v>3652</v>
      </c>
      <c r="D22" s="13">
        <f>C22/B22-1</f>
        <v>0.42561580200648019</v>
      </c>
      <c r="E22" s="12">
        <v>4805.2</v>
      </c>
      <c r="F22" s="13">
        <f>E22/C22-1</f>
        <v>0.31577217962760118</v>
      </c>
      <c r="G22" s="12">
        <v>3378.2</v>
      </c>
      <c r="H22" s="14">
        <v>100</v>
      </c>
      <c r="I22" s="13">
        <f>G22/E22-1</f>
        <v>-0.29696994922167652</v>
      </c>
      <c r="J22" s="12">
        <v>5991.8</v>
      </c>
      <c r="K22" s="14">
        <v>100</v>
      </c>
      <c r="L22" s="15">
        <f>J22/G22-1</f>
        <v>0.77366644958853836</v>
      </c>
      <c r="M22" s="12">
        <v>8399</v>
      </c>
      <c r="N22" s="14">
        <v>100</v>
      </c>
      <c r="O22" s="13">
        <f t="shared" si="1"/>
        <v>0.4017490570446276</v>
      </c>
      <c r="P22" s="12">
        <v>9917</v>
      </c>
      <c r="Q22" s="14">
        <v>100</v>
      </c>
      <c r="R22" s="13">
        <f t="shared" si="2"/>
        <v>0.18073580188117644</v>
      </c>
      <c r="S22" s="12">
        <f>MOD!AH14</f>
        <v>11157.699999999999</v>
      </c>
      <c r="T22" s="14">
        <v>100</v>
      </c>
      <c r="U22" s="16">
        <f t="shared" si="4"/>
        <v>0.12510839971765653</v>
      </c>
    </row>
    <row r="24" spans="1:25" x14ac:dyDescent="0.25">
      <c r="A24" t="s">
        <v>69</v>
      </c>
      <c r="B24" s="2">
        <f>B22/B15</f>
        <v>0.1221293616777829</v>
      </c>
      <c r="D24" s="2">
        <f>C22/C15</f>
        <v>0.12404596358102898</v>
      </c>
      <c r="F24" s="2">
        <f>E22/E15</f>
        <v>0.12657721020161949</v>
      </c>
      <c r="H24" s="2">
        <f>G22/G15</f>
        <v>0.14136561646071247</v>
      </c>
      <c r="K24" s="2">
        <f>J22/J15</f>
        <v>0.12781961302984407</v>
      </c>
      <c r="N24" s="2">
        <f>M22/M15</f>
        <v>0.13287034107447954</v>
      </c>
      <c r="Q24" s="2">
        <f>P22/P15</f>
        <v>0.13538196909299405</v>
      </c>
    </row>
    <row r="38" spans="23:23" x14ac:dyDescent="0.25">
      <c r="W38" s="1"/>
    </row>
  </sheetData>
  <conditionalFormatting sqref="L4:L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1:L1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:L2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:O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:O1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8:O2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:R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1:R1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8:R2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:U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1:U1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8:U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2011496"><![CDATA[{"HTHT-US^FE_VALUATION(PE,MEAN,ANN,+2,NOW,,,'')":14.342904,"HTHT-US^FE_VALUATION(PE,MEAN,ANN,+1,NOW,,,'')":16.640938,"HTHT-US^FE_VALUATION(FFEV_EBITDA,MEAN,ANN,+2,NOW,,,'')":12.480752,"HTHT-US^FE_VALUATION(FFEV_EBITDA,MEAN,ANN,+1,NOW,,,'')":14.032636,"HTHT-US^FE_VALUATION(FFEV_SALES,MEAN,ANN,+2,NOW,,,'')":3.8912575,"HTHT-US^FE_VALUATION(FFEV_SALES,MEAN,ANN,+1,NOW,,,'')":4.2089767,"WH-US^FE_VALUATION(PE,MEAN,ANN,+2,NOW,,,'')":16.352894,"WH-US^FE_VALUATION(PE,MEAN,ANN,+1,NOW,,,'')":17.915066,"WH-US^FE_VALUATION(FFEV_EBITDA,MEAN,ANN,+2,NOW,,,'')":11.960224,"WH-US^FE_VALUATION(FFEV_EBITDA,MEAN,ANN,+1,NOW,,,'')":12.534736,"WH-US^FE_VALUATION(FFEV_SALES,MEAN,ANN,+2,NOW,,,'')":5.764529,"WH-US^FE_VALUATION(FFEV_SALES,MEAN,ANN,+1,NOW,,,'')":6.0709887,"HLT-US^FE_VALUATION(PE,MEAN,ANN,+2,NOW,,,'')":26.266146,"HLT-US^FE_VALUATION(PE,MEAN,ANN,+1,NOW,,,'')":30.286312,"HLT-US^FE_VALUATION(FFEV_EBITDA,MEAN,ANN,+2,NOW,,,'')":17.81003,"HLT-US^FE_VALUATION(FFEV_EBITDA,MEAN,ANN,+1,NOW,,,'')":19.23661,"HLT-US^FE_VALUATION(FFEV_SALES,MEAN,ANN,+2,NOW,,,'')":5.3971214,"HLT-US^FE_VALUATION(FFEV_SALES,MEAN,ANN,+1,NOW,,,'')":5.8259034,"MAR-US^FE_VALUATION(PE,MEAN,ANN,+2,NOW,,,'')":21.841816,"MAR-US^FE_VALUATION(PE,MEAN,ANN,+1,NOW,,,'')":24.784384,"MAR-US^FE_VALUATION(FFEV_EBITDA,MEAN,ANN,+2,NOW,,,'')":15.558103,"MAR-US^FE_VALUATION(FFEV_EBITDA,MEAN,ANN,+1,NOW,,,'')":16.621908,"MAR-US^FE_VALUATION(FFEV_SALES,MEAN,ANN,+2,NOW,,,'')":3.1157951,"MAR-US^FE_VALUATION(FFEV_SALES,MEAN,ANN,+1,NOW,,,'')":3.2835302,"TRIP-US^FE_VALUATION(PE,MEAN,ANN,+2,NOW,,,'')":10.549843,"TRIP-US^FE_VALUATION(PE,MEAN,ANN,+1,NOW,,,'')":12.927448,"TRIP-US^FE_VALUATION(FFEV_EBITDA,MEAN,ANN,+2,NOW,,,'')":5.8280706,"TRIP-US^FE_VALUATION(FFEV_EBITDA,MEAN,ANN,+1,NOW,,,'')":6.54217,"TRIP-US^FE_VALUATION(FFEV_SALES,MEAN,ANN,+2,NOW,,,'')":1.1241076,"TRIP-US^FE_VALUATION(FFEV_SALES,MEAN,ANN,+1,NOW,,,'')":1.213453,"BIDU-US^FE_VALUATION(PE,MEAN,ANN,+2,NOW,,,'')":7.5943937,"BIDU-US^FE_VALUATION(PE,MEAN,ANN,+1,NOW,,,'')":7.9813504,"BIDU-US^FE_VALUATION(FFEV_EBITDA,MEAN,ANN,+2,NOW,,,'')":3.89916,"BIDU-US^FE_VALUATION(FFEV_EBITDA,MEAN,ANN,+1,NOW,,,'')":4.188718,"BIDU-US^FE_VALUATION(FFEV_SALES,MEAN,ANN,+2,NOW,,,'')":0.96827877,"BIDU-US^FE_VALUATION(FFEV_SALES,MEAN,ANN,+1,NOW,,,'')":1.0297449,"GOOG-US^FE_VALUATION(PE,MEAN,ANN,+2,NOW,,,'')":19.401619,"GOOG-US^FE_VALUATION(PE,MEAN,ANN,+1,NOW,,,'')":22.059328,"GOOG-US^FE_VALUATION(FFEV_EBITDA,MEAN,ANN,+2,NOW,,,'')":12.154863,"GOOG-US^FE_VALUATION(FFEV_EBITDA,MEAN,ANN,+1,NOW,,,'')":13.837112,"GOOG-US^FE_VALUATION(FFEV_SALES,MEAN,ANN,+2,NOW,,,'')":5.282357,"GOOG-US^FE_VALUATION(FFEV_SALES,MEAN,ANN,+1,NOW,,,'')":5.867104,"TCOM-US^FE_VALUATION(PE,MEAN,ANN,+2,NOW,,,'')":12.464879,"TCOM-US^FE_VALUATION(PE,MEAN,ANN,+1,NOW,,,'')":14.2362175,"TCOM-US^FE_VALUATION(FFEV_EBITDA,MEAN,ANN,+2,NOW,,,'')":10.179857,"TCOM-US^FE_VALUATION(FFEV_EBITDA,MEAN,ANN,+1,NOW,,,'')":11.742133,"TCOM-US^FE_VALUATION(FFEV_SALES,MEAN,ANN,+2,NOW,,,'')":3.0780694,"TCOM-US^FE_VALUATION(FFEV_SALES,MEAN,ANN,+1,NOW,,,'')":3.559571,"EXPE-US^FE_VALUATION(PE,MEAN,ANN,+2,NOW,,,'')":8.695115,"EXPE-US^FE_VALUATION(PE,MEAN,ANN,+1,NOW,,,'')":10.874353,"EXPE-US^FE_VALUATION(FFEV_EBITDA,MEAN,ANN,+2,NOW,,,'')":5.8025613,"EXPE-US^FE_VALUATION(FFEV_EBITDA,MEAN,ANN,+1,NOW,,,'')":6.444993,"EXPE-US^FE_VALUATION(FFEV_SALES,MEAN,ANN,+2,NOW,,,'')":1.2502218,"EXPE-US^FE_VALUATION(FFEV_SALES,MEAN,ANN,+1,NOW,,,'')":1.3476086,"BKNG-US^FE_VALUATION(PE,MEAN,ANN,+2,NOW,,,'')":18.006693,"BKNG-US^FE_VALUATION(PE,MEAN,ANN,+1,NOW,,,'')":20.939722,"BKNG-US^FE_VALUATION(FFEV_EBITDA,MEAN,ANN,+2,NOW,,,'')":14.98236,"BKNG-US^FE_VALUATION(FFEV_EBITDA,MEAN,ANN,+1,NOW,,,'')":16.90352,"BKNG-US^FE_VALUATION(FFEV_SALES,MEAN,ANN,+2,NOW,,,'')":5.298046,"BKNG-US^FE_VALUATION(FFEV_SALES,MEAN,ANN,+1,NOW,,,'')":5.7608986,"ABNB-US^FE_VALUATION(PE,MEAN,ANN,+2,NOW,,,'')":27.300552,"ABNB-US^FE_VALUATION(PE,MEAN,ANN,+1,NOW,,,'')":30.868246,"ABNB-US^FE_VALUATION(FFEV_EBITDA,MEAN,ANN,+2,NOW,,,'')":17.706608,"ABNB-US^FE_VALUATION(FFEV_EBITDA,MEAN,ANN,+1,NOW,,,'')":20.391556,"ABNB-US^FE_VALUATION(FFEV_SALES,MEAN,ANN,+2,NOW,,,'')":6.630819,"ABNB-US^FE_VALUATION(FFEV_SALES,MEAN,ANN,+1,NOW,,,'')":7.404787,"ABNB-US^FREF_SHARES_COMPANY(0,,,,0,\"LEGACY\")":441.500396728516,"ABNB-US^FF_DEBT(QTR_R,0)":2290.0,"ABNB-US^FF_CASH_ST(QTR_R,0)":11128.0,"HTHT-US^FF_NET_INC(ANN_R,0Y,,,,USD)":576.567891405353,"HTHT-US^FF_NET_INC(ANN_R,-1AY,,,,USD)":-270.430257741593,"HTHT-US^FF_EBITDA_OPER(ANN_R,0Y,,,,USD)":805.0779,"HTHT-US^FF_EBITDA_OPER(ANN_R,-1AY,,,,USD)":108.1127,"HTHT-US^FF_SALES(ANN_R,0Y,,,,USD)":3088.48435733952,"HTHT-US^FF_SALES(ANN_R,-1AY,,,,USD)":2058.5965034673,"HTHT-US^FF_SALES(ANN_R,-2AY,,,,USD)":1982.36776482153,"WH-US^FF_NET_INC(ANN_R,0Y,,,,USD)":289.0,"WH-US^FF_NET_INC(ANN_R,-1AY,,,,USD)":355.0,"WH-US^FF_EBITDA_OPER(ANN_R,0Y,,,,USD)":555.0,"WH-US^FF_EBITDA_OPER(ANN_R,-1AY,,,,USD)":599.0,"WH-US^FF_SALES(ANN_R,0Y,,,,USD)":1397.0,"WH-US^FF_SALES(ANN_R,-1AY,,,,USD)":1510.0,"WH-US^FF_SALES(ANN_R,-2AY,,,,USD)":1576.0,"HLT-US^FF_NET_INC(ANN_R,0Y,,,,USD)":1141.0,"HLT-US^FF_NET_INC(ANN_R,-1AY,,,,USD)":1255.0,"HLT-US^FF_EBITDA_OPER(ANN_R,0Y,,,,USD)":2410.0,"HLT-US^FF_EBITDA_OPER(ANN_R,-1AY,,,,USD)":2256.0,"HLT-US^FF_SALES(ANN_R,0Y,,,,USD)":10235.0,"HLT-US^FF_SALES(ANN_R,-1AY,,,,USD)":8773.0,"HLT-US^FF_SALES(ANN_R,-2AY,,,,USD)":5788.0,"MAR-US^FF_NET_INC(ANN_R,0Y,,,,USD)":3083.0,"MAR-US^FF_NET_INC(ANN_R,-1AY,,,,USD)":2358.0,"MAR-US^FF_EBITDA_OPER(ANN_R,0Y,,,,USD)":4235.0,"MAR-US^FF_EBITDA_OPER(ANN_R,-1AY,,,,USD)":3833.0,"MAR-US^FF_SALES(ANN_R,0Y,,,,USD)":23713.0,"MAR-US^FF_SALES(ANN_R,-1AY,,,,USD)":20773.0,"MAR-US^FF_SALES(ANN_R,-2AY,,,,USD)":13857.0,"TRIP-US^FF_NET_INC(ANN_R,0Y,,,,USD)":10.0,"TRIP-US^FF_NET_INC(ANN_R,-1AY,,,,USD)":20.0,"TRIP-US^FF_EBITDA_OPER(ANN_R,0Y,,,,USD)":238.0,"TRIP-US^FF_EBITDA_OPER(ANN_R,-1AY,,,,USD)":206.0,"TRIP-US^FF_SALES(ANN_R,0Y,,,,USD)":1788.0,"TRIP-US^FF_SALES(ANN_R,-1AY,,,,USD)":1492.0,"TRIP-US^FF_SALES(ANN_R,-2AY,,,,USD)":902.0,"BIDU-US^FF_NET_INC(ANN_R,0Y,,,,USD)":2766.11445183895,"BIDU-US^FF_NET_INC(ANN_R,-1AY,,,,USD)":1034.7929906334,"BIDU-US^FF_EBITDA_OPER(ANN_R,0Y,,,,USD)":5204.91901,"BIDU-US^FF_EBITDA_OPER(ANN_R,-1AY,,,,USD)":5185.25144,"BIDU-US^FF_SALES(ANN_R,0Y,,,,USD)":18997.523879407,"BIDU-US^FF_SALES(ANN_R,-1AY,,,,USD)":18366.5360385456,"BIDU-US^FF_SALES(ANN_R,-2AY,,,,USD)":19303.1607466505,"GOOG-US^FF_NET_INC(ANN_R,0Y,,,,USD)":73795.0,"GOOG-US^FF_NET_INC(ANN_R,-1AY,,,,USD)":59972.0,"GOOG-US^FF_EBITDA_OPER(ANN_R,0Y,,,,USD)":98090.0,"GOOG-US^FF_EBITDA_OPER(ANN_R,-1AY,,,,USD)":88809.0,"GOOG-US^FF_SALES(ANN_R,0Y,,,,USD)":307157.0,"GOOG-US^FF_SALES(ANN_R,-1AY,,,,USD)":280875.0,"GOOG-US^FF_SALES(ANN_R,-2AY,,,,USD)":257488.0,"TCOM-US^FF_NET_INC(ANN_R,0Y,,,,USD)":1399.85320610974,"TCOM-US^FF_NET_INC(ANN_R,-1AY,,,,USD)":208.354558820129,"TCOM-US^FF_EBITDA_OPER(ANN_R,0Y,,,,USD)":1746.78194,"TCOM-US^FF_EBITDA_OPER(ANN_R,-1AY,,,,USD)":204.79041,"TCOM-US^FF_SALES(ANN_R,0Y,,,,USD)":6282.26116192222,"TCOM-US^FF_SALES(ANN_R,-1AY,,,,USD)":2975.92088681152,"TCOM-US^FF_SALES(ANN_R,-2AY,,,,USD)":3104.64996128443,"EXPE-US^FF_NET_INC(ANN_R,0Y,,,,USD)":797.0,"EXPE-US^FF_NET_INC(ANN_R,-1AY,,,,USD)":352.0,"EXPE-US^FF_EBITDA_OPER(ANN_R,0Y,,,,USD)":2266.0,"EXPE-US^FF_EBITDA_OPER(ANN_R,-1AY,,,,USD)":1958.0,"EXPE-US^FF_SALES(ANN_R,0Y,,,,USD)":12839.0,"EXPE-US^FF_SALES(ANN_R,-1AY,,,,USD)":11667.0,"EXPE-US^FF_SALES(ANN_R,-2AY,,,,USD)":8598.0,"BKNG-US^FF_NET_INC(ANN_R,0Y,,,,USD)":4289.0,"BKNG-US^FF_NET_INC(ANN_R,-1AY,,,,USD)":3058.0,"BKNG-US^FF_EBITDA_OPER(ANN_R,0Y,,,,USD)":6505.0,"BKNG-US^FF_EBITDA_OPER(ANN_R,-1AY,,,,USD)":5510.0,"BKNG-US^FF_SALES(ANN_R,0Y,,,,USD)":21365.0,"BKNG-US^FF_SALES(ANN_R,-1AY,,,,USD)":17090.0,"BKNG-US^FF_SALES(ANN_R,-2AY,,,,USD)":10958.0,"ABNB-US^FF_NET_INC(ANN_R,0Y,,,,USD)":4792.0,"ABNB-US^FF_NET_INC(ANN_R,-1AY,,,,USD)":1893.0,"ABNB-US^FF_EBITDA_OPER(ANN_R,0Y,,,,USD)":1565.0,"ABNB-US^FF_EBITDA_OPER(ANN_R,-1AY,,,,USD)":1968.3,"ABNB-US^FF_SALES(ANN_R,0Y,,,,USD)":9917.0,"ABNB-US^FF_SALES(ANN_R,-1AY,,,,USD)":8399.0,"ABNB-US^FF_SALES(ANN_R,-2AY,,,,USD)":5991.76,"ABNB-US^FF_EPS(ANN_R,NOW,,,,USD)":7.2387,"HTHT-US^FF_DEBT(QTR_R,0)":4993.87750866474,"HTHT-US^FF_CASH_ST(QTR_R,0)":1151.3050937744,"WH-US^FF_DEBT(QTR_R,0)":2427.0,"WH-US^FF_CASH_ST(QTR_R,0)":70.0,"HLT-US^FF_DEBT(QTR_R,0)":10948.0,"HLT-US^FF_CASH_ST(QTR_R,0)":1420.0,"MAR-US^FF_DEBT(QTR_R,0)":13509.0,"MAR-US^FF_CASH_ST(QTR_R,0)":429.0,"TRIP-US^FF_DEBT(QTR_R,0)":917.0,"TRIP-US^FF_CASH_ST(QTR_R,0)":1171.0,"BIDU-US^FF_DEBT(QTR_R,0)":12369.0928335716,"BIDU-US^FF_CASH_ST(QTR_R,0)":26536.3302409556,"GOOG-US^FF_DEBT(QTR_R,0)":28719.0,"GOOG-US^FF_CASH_ST(QTR_R,0)":100725.0,"TCOM-US^FF_DEBT(QTR_R,0)":6611.32211222473,"TCOM-US^FF_CASH_ST(QTR_R,0)":9724.03821541456,"EXPE-US^FF_DEBT(QTR_R,0)":6557.0,"EXPE-US^FF_CASH_ST(QTR_R,0)":7648.0,"BKNG-US^FF_DEBT(QTR_R,0)":17456.0,"BKNG-US^FF_CASH_ST(QTR_R,0)":15991.0,"HTHT-US^FCS_SHARES(TOT,SHS,ANN,0,,,,,M)":3258.872849,"HTHT-US^FG_PRICE(0,,,USD)":31.1,"HTHT-US^FG_COMPANY_NAME":"H World Group Limited Sponsored ADR","WH-US^FCS_SHARES(TOT,SHS,ANN,0,,,,,M)":83.204937,"WH-US^FG_PRICE(0,,,USD)":76.6,"WH-US^FG_COMPANY_NAME":"Wyndham Hotels & Resorts, Inc.","HLT-US^FCS_SHARES(TOT,SHS,ANN,0,,,,,M)":256.67143,"HLT-US^FG_PRICE(0,,,USD)":213.18,"HLT-US^FG_COMPANY_NAME":"Hilton Worldwide Holdings Inc.","MAR-US^FCS_SHARES(TOT,SHS,ANN,0,,,,,M)":293.639975,"MAR-US^FG_PRICE(0,,,USD)":233.75,"MAR-US^FG_COMPANY_NAME":"Marriott International, Inc. Class A","TRIP-US^FCS_SHARES(TOT,SHS,ANN,0,,,,,M)":150.292493,"TRIP-US^FG_PRICE(0,,,USD)":17.61,"TRIP-US^FG_COMPANY_NAME":"TripAdvisor, Inc.","BIDU-US^FCS_SHARES(TOT,SHS,ANN,0,,,,,M)":3085.53838,"BIDU-US^FG_PRICE(0,,,USD)":87.79,"BIDU-US^FG_COMPANY_NAME":"Baidu Inc Sponsored ADR Class A","GOOG-US^FCS_SHARES(TOT,SHS,ANN,0,,,,,M)":12798.0,"GOOG-US^FG_PRICE(0,,,USD)":169.16,"GOOG-US^FG_COMPANY_NAME":"Alphabet Inc. Class C","TCOM-US^FCS_SHARES(TOT,SHS,ANN,0,,,,,M)":676.300646,"TCOM-US^FG_PRICE(0,,,USD)":43.43,"TCOM-US^FG_COMPANY_NAME":"Trip.com Group Ltd. Sponsored ADR","EXPE-US^FCS_SHARES(TOT,SHS,ANN,0,,,,,M)":138.296104,"EXPE-US^FG_PRICE(0,,,USD)":124.9,"EXPE-US^FG_COMPANY_NAME":"Expedia Group, Inc.","BKNG-US^FCS_SHARES(TOT,SHS,ANN,0,,,,,M)":35.404613,"BKNG-US^FG_PRICE(0,,,USD)":3659.88,"BKNG-US^FG_COMPANY_NAME":"Booking Holdings Inc.","ABNB-US^FCS_SHARES(TOT,SHS,ANN,0,,,,,M)":681.943646,"ABNB-US^FG_PRICE(0,,,USD)":140.03,"ABNB-US^FG_COMPANY_NAME":"Airbnb, Inc. Class A"}]]></FdsFormulaCache>
</file>

<file path=customXml/itemProps1.xml><?xml version="1.0" encoding="utf-8"?>
<ds:datastoreItem xmlns:ds="http://schemas.openxmlformats.org/officeDocument/2006/customXml" ds:itemID="{5A2D2CE4-03B3-4F83-AEAC-D6B66DE54590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 Input</vt:lpstr>
      <vt:lpstr>MOD</vt:lpstr>
      <vt:lpstr>DCF</vt:lpstr>
      <vt:lpstr>SUM</vt:lpstr>
      <vt:lpstr>ABNB Comps &amp; market share</vt:lpstr>
      <vt:lpstr>Regional breakdown</vt:lpstr>
      <vt:lpstr>DCF!tgr</vt:lpstr>
      <vt:lpstr>DCF!wacc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Hongjia Cui</dc:creator>
  <cp:lastModifiedBy>Hongjia Cui</cp:lastModifiedBy>
  <dcterms:created xsi:type="dcterms:W3CDTF">2015-06-05T18:17:20Z</dcterms:created>
  <dcterms:modified xsi:type="dcterms:W3CDTF">2024-08-17T21:54:09Z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