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2.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cui/Desktop/DCF Valuation/Mint Intern/"/>
    </mc:Choice>
  </mc:AlternateContent>
  <xr:revisionPtr revIDLastSave="0" documentId="13_ncr:1_{C78BF912-273E-0449-A8B9-3F4B2FF83CAD}" xr6:coauthVersionLast="47" xr6:coauthVersionMax="47" xr10:uidLastSave="{00000000-0000-0000-0000-000000000000}"/>
  <bookViews>
    <workbookView xWindow="0" yWindow="780" windowWidth="34200" windowHeight="21360" activeTab="5" xr2:uid="{D1627108-C4A3-4351-A083-3544B21164CD}"/>
  </bookViews>
  <sheets>
    <sheet name="__FDSCACHE__" sheetId="8" state="veryHidden" r:id="rId1"/>
    <sheet name="Raw Input" sheetId="9" r:id="rId2"/>
    <sheet name="MOD" sheetId="11" r:id="rId3"/>
    <sheet name="DCF" sheetId="16" r:id="rId4"/>
    <sheet name="WACC" sheetId="17" r:id="rId5"/>
    <sheet name="SUM" sheetId="18" r:id="rId6"/>
    <sheet name="CMG cost model" sheetId="12" r:id="rId7"/>
    <sheet name="CMG Comps &amp; market share" sheetId="7" r:id="rId8"/>
    <sheet name="CMG restaurant activity" sheetId="6" r:id="rId9"/>
  </sheets>
  <externalReferences>
    <externalReference r:id="rId10"/>
  </externalReferences>
  <definedNames>
    <definedName name="_bdm.1374bf2687714150a6b31bc1ca0a0b61.edm" hidden="1">'CMG Comps &amp; market share'!$1:$1048576</definedName>
    <definedName name="_bdm.2ce96c87f19a450da146a0c4aa3f4f37.edm" localSheetId="2" hidden="1">#REF!</definedName>
    <definedName name="_bdm.2ce96c87f19a450da146a0c4aa3f4f37.edm" localSheetId="1" hidden="1">#REF!</definedName>
    <definedName name="_bdm.2ce96c87f19a450da146a0c4aa3f4f37.edm" hidden="1">#REF!</definedName>
    <definedName name="_bdm.fcdcb85f66d84a7aac098aaed3657232.edm" localSheetId="2" hidden="1">#REF!</definedName>
    <definedName name="_bdm.fcdcb85f66d84a7aac098aaed3657232.edm" localSheetId="1" hidden="1">#REF!</definedName>
    <definedName name="_bdm.fcdcb85f66d84a7aac098aaed3657232.edm" hidden="1">#REF!</definedName>
    <definedName name="_xlnm._FilterDatabase" localSheetId="7" hidden="1">'CMG Comps &amp; market share'!$A$35:$AC$73</definedName>
    <definedName name="_xlnm.Database" localSheetId="2">#REF!</definedName>
    <definedName name="_xlnm.Database" localSheetId="1">#REF!</definedName>
    <definedName name="_xlnm.Database">#REF!</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45190.6061111111</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s" hidden="1">#REF!</definedName>
    <definedName name="tgr" localSheetId="3">DCF!$E$16</definedName>
    <definedName name="tgr" localSheetId="4">[1]DCF!$E$16</definedName>
    <definedName name="tgr">#REF!</definedName>
    <definedName name="wacc" localSheetId="3">DCF!$E$15</definedName>
    <definedName name="wacc" localSheetId="4">[1]DCF!$E$15</definedName>
    <definedName name="wac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1" i="16" l="1"/>
  <c r="E16" i="16"/>
  <c r="E15" i="16"/>
  <c r="M41" i="16"/>
  <c r="K41" i="16"/>
  <c r="L41" i="16"/>
  <c r="N43" i="7" l="1" a="1"/>
  <c r="K40" i="7" a="1"/>
  <c r="N37" i="7" a="1"/>
  <c r="I37" i="7" a="1"/>
  <c r="C37" i="7" a="1"/>
  <c r="D38" i="7" a="1"/>
  <c r="Q26" i="7" a="1"/>
  <c r="M43" i="7" a="1"/>
  <c r="N42" i="7" a="1"/>
  <c r="O41" i="7" a="1"/>
  <c r="P40" i="7" a="1"/>
  <c r="Q39" i="7" a="1"/>
  <c r="K39" i="7" a="1"/>
  <c r="L38" i="7" a="1"/>
  <c r="M37" i="7" a="1"/>
  <c r="N36" i="7" a="1"/>
  <c r="H43" i="7" a="1"/>
  <c r="H37" i="7" a="1"/>
  <c r="E42" i="7" a="1"/>
  <c r="E40" i="7" a="1"/>
  <c r="E38" i="7" a="1"/>
  <c r="E36" i="7" a="1"/>
  <c r="P26" i="7" a="1"/>
  <c r="M42" i="7" a="1"/>
  <c r="N41" i="7" a="1"/>
  <c r="P39" i="7" a="1"/>
  <c r="K38" i="7" a="1"/>
  <c r="M36" i="7" a="1"/>
  <c r="D40" i="7" a="1"/>
  <c r="H40" i="7" a="1"/>
  <c r="L43" i="7" a="1"/>
  <c r="O40" i="7" a="1"/>
  <c r="Q38" i="7" a="1"/>
  <c r="L37" i="7" a="1"/>
  <c r="I39" i="7" a="1"/>
  <c r="C40" i="7" a="1"/>
  <c r="Q43" i="7" a="1"/>
  <c r="K43" i="7" a="1"/>
  <c r="L42" i="7" a="1"/>
  <c r="M41" i="7" a="1"/>
  <c r="N40" i="7" a="1"/>
  <c r="O39" i="7" a="1"/>
  <c r="P38" i="7" a="1"/>
  <c r="Q37" i="7" a="1"/>
  <c r="K37" i="7" a="1"/>
  <c r="L36" i="7" a="1"/>
  <c r="H42" i="7" a="1"/>
  <c r="H39" i="7" a="1"/>
  <c r="H36" i="7" a="1"/>
  <c r="C42" i="7" a="1"/>
  <c r="C36" i="7" a="1"/>
  <c r="P43" i="7" a="1"/>
  <c r="Q42" i="7" a="1"/>
  <c r="K42" i="7" a="1"/>
  <c r="L41" i="7" a="1"/>
  <c r="M40" i="7" a="1"/>
  <c r="N39" i="7" a="1"/>
  <c r="O38" i="7" a="1"/>
  <c r="Q36" i="7" a="1"/>
  <c r="K36" i="7" a="1"/>
  <c r="I41" i="7" a="1"/>
  <c r="I38" i="7" a="1"/>
  <c r="E43" i="7" a="1"/>
  <c r="E41" i="7" a="1"/>
  <c r="E39" i="7" a="1"/>
  <c r="E37" i="7" a="1"/>
  <c r="P41" i="7" a="1"/>
  <c r="M38" i="7" a="1"/>
  <c r="I40" i="7" a="1"/>
  <c r="C39" i="7" a="1"/>
  <c r="D42" i="7" a="1"/>
  <c r="P37" i="7" a="1"/>
  <c r="Q40" i="7" a="1"/>
  <c r="O36" i="7" a="1"/>
  <c r="C43" i="7" a="1"/>
  <c r="I36" i="7" a="1"/>
  <c r="D36" i="7" a="1"/>
  <c r="O43" i="7" a="1"/>
  <c r="P42" i="7" a="1"/>
  <c r="Q41" i="7" a="1"/>
  <c r="K41" i="7" a="1"/>
  <c r="L40" i="7" a="1"/>
  <c r="M39" i="7" a="1"/>
  <c r="N38" i="7" a="1"/>
  <c r="O37" i="7" a="1"/>
  <c r="P36" i="7" a="1"/>
  <c r="J26" i="7" a="1"/>
  <c r="H41" i="7" a="1"/>
  <c r="H38" i="7" a="1"/>
  <c r="D43" i="7" a="1"/>
  <c r="D41" i="7" a="1"/>
  <c r="D39" i="7" a="1"/>
  <c r="D37" i="7" a="1"/>
  <c r="R26" i="7" a="1"/>
  <c r="O42" i="7" a="1"/>
  <c r="L39" i="7" a="1"/>
  <c r="I43" i="7" a="1"/>
  <c r="C41" i="7" a="1"/>
  <c r="I42" i="7" a="1"/>
  <c r="C38" i="7" a="1"/>
  <c r="C38" i="7" l="1"/>
  <c r="I42" i="7"/>
  <c r="C41" i="7"/>
  <c r="I43" i="7"/>
  <c r="L39" i="7"/>
  <c r="O42" i="7"/>
  <c r="R26" i="7"/>
  <c r="D37" i="7"/>
  <c r="D39" i="7"/>
  <c r="D41" i="7"/>
  <c r="D43" i="7"/>
  <c r="H38" i="7"/>
  <c r="H41" i="7"/>
  <c r="J26" i="7"/>
  <c r="P36" i="7"/>
  <c r="O37" i="7"/>
  <c r="N38" i="7"/>
  <c r="M39" i="7"/>
  <c r="L40" i="7"/>
  <c r="K41" i="7"/>
  <c r="Q41" i="7"/>
  <c r="P42" i="7"/>
  <c r="O43" i="7"/>
  <c r="D36" i="7"/>
  <c r="I36" i="7"/>
  <c r="C43" i="7"/>
  <c r="O36" i="7"/>
  <c r="Q40" i="7"/>
  <c r="P37" i="7"/>
  <c r="D42" i="7"/>
  <c r="C39" i="7"/>
  <c r="I40" i="7"/>
  <c r="M38" i="7"/>
  <c r="P41" i="7"/>
  <c r="E37" i="7"/>
  <c r="E39" i="7"/>
  <c r="E41" i="7"/>
  <c r="E43" i="7"/>
  <c r="I38" i="7"/>
  <c r="I41" i="7"/>
  <c r="K36" i="7"/>
  <c r="Q36" i="7"/>
  <c r="O38" i="7"/>
  <c r="N39" i="7"/>
  <c r="M40" i="7"/>
  <c r="L41" i="7"/>
  <c r="K42" i="7"/>
  <c r="Q42" i="7"/>
  <c r="P43" i="7"/>
  <c r="C36" i="7"/>
  <c r="C42" i="7"/>
  <c r="H36" i="7"/>
  <c r="H39" i="7"/>
  <c r="H42" i="7"/>
  <c r="L36" i="7"/>
  <c r="K37" i="7"/>
  <c r="Q37" i="7"/>
  <c r="P38" i="7"/>
  <c r="O39" i="7"/>
  <c r="N40" i="7"/>
  <c r="M41" i="7"/>
  <c r="L42" i="7"/>
  <c r="K43" i="7"/>
  <c r="Q43" i="7"/>
  <c r="C40" i="7"/>
  <c r="I39" i="7"/>
  <c r="L37" i="7"/>
  <c r="Q38" i="7"/>
  <c r="O40" i="7"/>
  <c r="L43" i="7"/>
  <c r="H40" i="7"/>
  <c r="D40" i="7"/>
  <c r="M36" i="7"/>
  <c r="K38" i="7"/>
  <c r="P39" i="7"/>
  <c r="N41" i="7"/>
  <c r="M42" i="7"/>
  <c r="P26" i="7"/>
  <c r="E36" i="7"/>
  <c r="E38" i="7"/>
  <c r="E40" i="7"/>
  <c r="E42" i="7"/>
  <c r="H37" i="7"/>
  <c r="H43" i="7"/>
  <c r="N36" i="7"/>
  <c r="M37" i="7"/>
  <c r="L38" i="7"/>
  <c r="K39" i="7"/>
  <c r="Q39" i="7"/>
  <c r="P40" i="7"/>
  <c r="O41" i="7"/>
  <c r="N42" i="7"/>
  <c r="M43" i="7"/>
  <c r="Q26" i="7"/>
  <c r="D38" i="7"/>
  <c r="C37" i="7"/>
  <c r="I37" i="7"/>
  <c r="N37" i="7"/>
  <c r="K40" i="7"/>
  <c r="N43" i="7"/>
  <c r="AA9" i="7" l="1"/>
  <c r="AC9" i="7" s="1"/>
  <c r="Z9" i="7"/>
  <c r="AB9" i="7" s="1"/>
  <c r="AC72" i="11" l="1"/>
  <c r="AH83" i="11"/>
  <c r="AH82" i="11"/>
  <c r="AD78" i="11"/>
  <c r="AE78" i="11"/>
  <c r="AE77" i="11"/>
  <c r="AD83" i="11"/>
  <c r="AD82" i="11"/>
  <c r="AD77" i="11" s="1"/>
  <c r="AF42" i="11"/>
  <c r="AE60" i="11"/>
  <c r="AD60" i="11"/>
  <c r="AC60" i="11"/>
  <c r="AA60" i="11"/>
  <c r="Z60" i="11"/>
  <c r="Y60" i="11"/>
  <c r="X60" i="11"/>
  <c r="V60" i="11"/>
  <c r="U60" i="11"/>
  <c r="T60" i="11"/>
  <c r="S60" i="11"/>
  <c r="R60" i="11"/>
  <c r="Q60" i="11"/>
  <c r="P60" i="11"/>
  <c r="O60" i="11"/>
  <c r="N60" i="11"/>
  <c r="M60" i="11"/>
  <c r="L60" i="11"/>
  <c r="K60" i="11"/>
  <c r="J60" i="11"/>
  <c r="I60" i="11"/>
  <c r="AD66" i="11"/>
  <c r="AC66" i="11"/>
  <c r="AA66" i="11"/>
  <c r="Z66" i="11"/>
  <c r="Y66" i="11"/>
  <c r="X66" i="11"/>
  <c r="V66" i="11"/>
  <c r="U66" i="11"/>
  <c r="T66" i="11"/>
  <c r="S66" i="11"/>
  <c r="R66" i="11"/>
  <c r="Q66" i="11"/>
  <c r="P66" i="11"/>
  <c r="O66" i="11"/>
  <c r="N66" i="11"/>
  <c r="M66" i="11"/>
  <c r="L66" i="11"/>
  <c r="K66" i="11"/>
  <c r="J66" i="11"/>
  <c r="I66" i="11"/>
  <c r="AE66" i="11"/>
  <c r="AE9" i="11"/>
  <c r="AE7" i="11"/>
  <c r="AE72" i="11"/>
  <c r="AD72" i="11"/>
  <c r="AE54" i="11"/>
  <c r="AE62" i="11"/>
  <c r="AE59" i="11"/>
  <c r="AE65" i="11"/>
  <c r="AE68" i="11"/>
  <c r="AE32" i="11"/>
  <c r="AE51" i="11"/>
  <c r="AE48" i="11"/>
  <c r="AE45" i="11"/>
  <c r="AE43" i="11"/>
  <c r="AE42" i="11"/>
  <c r="AE29" i="11"/>
  <c r="AE26" i="11"/>
  <c r="AE23" i="11"/>
  <c r="AE20" i="11"/>
  <c r="AE10" i="11"/>
  <c r="AE52" i="11" s="1"/>
  <c r="AE46" i="11" l="1"/>
  <c r="AE63" i="11"/>
  <c r="AE24" i="11"/>
  <c r="AE49" i="11"/>
  <c r="AE55" i="11"/>
  <c r="U5" i="18"/>
  <c r="U6" i="18" s="1"/>
  <c r="U7" i="18" s="1"/>
  <c r="U8" i="18" s="1"/>
  <c r="U9" i="18" s="1"/>
  <c r="U10" i="18" s="1"/>
  <c r="U11" i="18" s="1"/>
  <c r="U12" i="18" s="1"/>
  <c r="U13" i="18" s="1"/>
  <c r="U14" i="18" s="1"/>
  <c r="U15" i="18" s="1"/>
  <c r="U16" i="18" s="1"/>
  <c r="U17" i="18" s="1"/>
  <c r="U18" i="18" s="1"/>
  <c r="U19" i="18" s="1"/>
  <c r="U20" i="18" s="1"/>
  <c r="U21" i="18" s="1"/>
  <c r="U22" i="18" s="1"/>
  <c r="U23" i="18" s="1"/>
  <c r="U24" i="18" s="1"/>
  <c r="U25" i="18" s="1"/>
  <c r="U26" i="18" s="1"/>
  <c r="U27" i="18" s="1"/>
  <c r="U28" i="18" s="1"/>
  <c r="U29" i="18" s="1"/>
  <c r="U30" i="18" s="1"/>
  <c r="U31" i="18" s="1"/>
  <c r="U32" i="18" s="1"/>
  <c r="U33" i="18" s="1"/>
  <c r="U34" i="18" s="1"/>
  <c r="U35" i="18" s="1"/>
  <c r="U36" i="18" s="1"/>
  <c r="U37" i="18" s="1"/>
  <c r="U38" i="18" s="1"/>
  <c r="U39" i="18" s="1"/>
  <c r="U40" i="18" s="1"/>
  <c r="U41" i="18" s="1"/>
  <c r="U42" i="18" s="1"/>
  <c r="U43" i="18" s="1"/>
  <c r="U44" i="18" s="1"/>
  <c r="U45" i="18" s="1"/>
  <c r="U46" i="18" s="1"/>
  <c r="U47" i="18" s="1"/>
  <c r="U48" i="18" s="1"/>
  <c r="C34" i="18"/>
  <c r="L13" i="18"/>
  <c r="K13" i="18"/>
  <c r="G13" i="18"/>
  <c r="H13" i="18"/>
  <c r="I13" i="18"/>
  <c r="J13" i="18"/>
  <c r="AB72" i="11"/>
  <c r="X72" i="11"/>
  <c r="S72" i="11"/>
  <c r="S74" i="11" s="1"/>
  <c r="N72" i="11"/>
  <c r="I72" i="11"/>
  <c r="I74" i="11" s="1"/>
  <c r="AE74" i="11"/>
  <c r="AD74" i="11"/>
  <c r="AA74" i="11"/>
  <c r="Z74" i="11"/>
  <c r="Y74" i="11"/>
  <c r="V74" i="11"/>
  <c r="U74" i="11"/>
  <c r="T74" i="11"/>
  <c r="R74" i="11"/>
  <c r="Q74" i="11"/>
  <c r="P74" i="11"/>
  <c r="O74" i="11"/>
  <c r="M74" i="11"/>
  <c r="L74" i="11"/>
  <c r="K74" i="11"/>
  <c r="J74" i="11"/>
  <c r="AD73" i="11"/>
  <c r="AA73" i="11"/>
  <c r="Z73" i="11"/>
  <c r="Y73" i="11"/>
  <c r="V73" i="11"/>
  <c r="U73" i="11"/>
  <c r="T73" i="11"/>
  <c r="R73" i="11"/>
  <c r="Q73" i="11"/>
  <c r="P73" i="11"/>
  <c r="O73" i="11"/>
  <c r="C26" i="18"/>
  <c r="N73" i="11" l="1"/>
  <c r="AC73" i="11"/>
  <c r="AC74" i="11"/>
  <c r="X74" i="11"/>
  <c r="W72" i="11"/>
  <c r="S73" i="11"/>
  <c r="X73" i="11"/>
  <c r="N74" i="11"/>
  <c r="W73" i="11" l="1"/>
  <c r="AB73" i="11"/>
  <c r="E109" i="7" l="1"/>
  <c r="F65" i="7"/>
  <c r="G65" i="7" s="1"/>
  <c r="H65" i="7" s="1"/>
  <c r="I65" i="7" s="1"/>
  <c r="J65" i="7" s="1"/>
  <c r="K65" i="7" s="1"/>
  <c r="L65" i="7" s="1"/>
  <c r="C12" i="18" l="1"/>
  <c r="C11" i="18"/>
  <c r="C13" i="18" s="1"/>
  <c r="C10" i="18"/>
  <c r="C15" i="18" s="1"/>
  <c r="C9" i="18"/>
  <c r="C8" i="18"/>
  <c r="K21" i="18" s="1"/>
  <c r="L17" i="18"/>
  <c r="K17" i="18"/>
  <c r="J17" i="18"/>
  <c r="G17" i="18"/>
  <c r="AE4" i="18"/>
  <c r="AB4" i="18"/>
  <c r="H3" i="18"/>
  <c r="H17" i="18" s="1"/>
  <c r="AD2" i="18"/>
  <c r="AA2" i="18"/>
  <c r="W8" i="16"/>
  <c r="X8" i="16" s="1"/>
  <c r="U10" i="16"/>
  <c r="U11" i="16" s="1"/>
  <c r="U12" i="16" s="1"/>
  <c r="U13" i="16" s="1"/>
  <c r="U14" i="16" s="1"/>
  <c r="U15" i="16" s="1"/>
  <c r="N76" i="16"/>
  <c r="F20" i="17"/>
  <c r="F16" i="17" s="1"/>
  <c r="F10" i="17"/>
  <c r="F18" i="17"/>
  <c r="J69" i="16"/>
  <c r="J70" i="16" s="1"/>
  <c r="M61" i="16"/>
  <c r="K53" i="16"/>
  <c r="L53" i="16" s="1"/>
  <c r="M53" i="16" s="1"/>
  <c r="N53" i="16" s="1"/>
  <c r="I52" i="16"/>
  <c r="H52" i="16"/>
  <c r="G52" i="16"/>
  <c r="F52" i="16"/>
  <c r="E52" i="16"/>
  <c r="I63" i="11"/>
  <c r="N44" i="16"/>
  <c r="N42" i="16"/>
  <c r="J44" i="16"/>
  <c r="J42" i="16"/>
  <c r="I29" i="16"/>
  <c r="I57" i="16" s="1"/>
  <c r="H29" i="16"/>
  <c r="G29" i="16"/>
  <c r="F29" i="16"/>
  <c r="E29" i="16"/>
  <c r="E57" i="16" s="1"/>
  <c r="N52" i="11"/>
  <c r="I22" i="16"/>
  <c r="H22" i="16"/>
  <c r="G22" i="16"/>
  <c r="F22" i="16"/>
  <c r="E22" i="16"/>
  <c r="I19" i="16"/>
  <c r="H19" i="16"/>
  <c r="G19" i="16"/>
  <c r="F19" i="16"/>
  <c r="F40" i="16" s="1"/>
  <c r="E19" i="16"/>
  <c r="E39" i="16"/>
  <c r="K38" i="16"/>
  <c r="L38" i="16" s="1"/>
  <c r="M38" i="16" s="1"/>
  <c r="N38" i="16" s="1"/>
  <c r="F9" i="17" l="1"/>
  <c r="F22" i="17" s="1"/>
  <c r="M15" i="16" s="1"/>
  <c r="S10" i="18"/>
  <c r="G21" i="18"/>
  <c r="H21" i="18"/>
  <c r="I21" i="18"/>
  <c r="L21" i="18"/>
  <c r="J21" i="18"/>
  <c r="I46" i="16"/>
  <c r="I25" i="16" s="1"/>
  <c r="F46" i="16"/>
  <c r="F47" i="16" s="1"/>
  <c r="E30" i="16"/>
  <c r="H40" i="16"/>
  <c r="H4" i="18"/>
  <c r="I23" i="16"/>
  <c r="I4" i="18"/>
  <c r="G40" i="16"/>
  <c r="G4" i="18"/>
  <c r="F30" i="16"/>
  <c r="E23" i="16"/>
  <c r="G23" i="16"/>
  <c r="H23" i="16"/>
  <c r="G30" i="16"/>
  <c r="Y8" i="16"/>
  <c r="Z8" i="16" s="1"/>
  <c r="AA8" i="16" s="1"/>
  <c r="AB5" i="18"/>
  <c r="K14" i="18"/>
  <c r="L14" i="18"/>
  <c r="Y5" i="18"/>
  <c r="Y4" i="18"/>
  <c r="K70" i="16"/>
  <c r="L70" i="16" s="1"/>
  <c r="M70" i="16" s="1"/>
  <c r="N70" i="16" s="1"/>
  <c r="I3" i="18"/>
  <c r="I17" i="18" s="1"/>
  <c r="AE5" i="18"/>
  <c r="F57" i="16"/>
  <c r="F58" i="16" s="1"/>
  <c r="G57" i="16"/>
  <c r="H30" i="16"/>
  <c r="H57" i="16"/>
  <c r="I40" i="16"/>
  <c r="F23" i="16"/>
  <c r="I30" i="16"/>
  <c r="E46" i="16"/>
  <c r="E40" i="16"/>
  <c r="F41" i="16" s="1"/>
  <c r="G46" i="16"/>
  <c r="H46" i="16"/>
  <c r="I20" i="16"/>
  <c r="H20" i="16"/>
  <c r="F20" i="16"/>
  <c r="G20" i="16"/>
  <c r="H58" i="16" l="1"/>
  <c r="H25" i="16"/>
  <c r="H26" i="16" s="1"/>
  <c r="H41" i="16"/>
  <c r="I53" i="16"/>
  <c r="I7" i="18"/>
  <c r="I19" i="18" s="1"/>
  <c r="I26" i="16"/>
  <c r="E53" i="16"/>
  <c r="E25" i="16"/>
  <c r="E26" i="16" s="1"/>
  <c r="F53" i="16"/>
  <c r="F25" i="16"/>
  <c r="F26" i="16" s="1"/>
  <c r="H7" i="18"/>
  <c r="H19" i="18" s="1"/>
  <c r="I47" i="16"/>
  <c r="G53" i="16"/>
  <c r="G25" i="16"/>
  <c r="G18" i="18"/>
  <c r="H18" i="18"/>
  <c r="I5" i="18"/>
  <c r="G41" i="16"/>
  <c r="G58" i="16"/>
  <c r="H5" i="18"/>
  <c r="G47" i="16"/>
  <c r="I41" i="16"/>
  <c r="E58" i="16"/>
  <c r="I18" i="18"/>
  <c r="I58" i="16"/>
  <c r="Y6" i="18"/>
  <c r="AE6" i="18"/>
  <c r="AB6" i="18"/>
  <c r="H47" i="16"/>
  <c r="H53" i="16"/>
  <c r="E47" i="16"/>
  <c r="I8" i="18" l="1"/>
  <c r="J58" i="16"/>
  <c r="K58" i="16" s="1"/>
  <c r="L58" i="16" s="1"/>
  <c r="M58" i="16" s="1"/>
  <c r="N58" i="16" s="1"/>
  <c r="H8" i="18"/>
  <c r="G9" i="18"/>
  <c r="G7" i="18"/>
  <c r="G26" i="16"/>
  <c r="H9" i="18"/>
  <c r="I9" i="18"/>
  <c r="AE7" i="18"/>
  <c r="AB7" i="18"/>
  <c r="Y7" i="18"/>
  <c r="G19" i="18" l="1"/>
  <c r="G8" i="18"/>
  <c r="AE8" i="18"/>
  <c r="Y8" i="18"/>
  <c r="AB8" i="18"/>
  <c r="AE9" i="18" l="1"/>
  <c r="AB9" i="18"/>
  <c r="Y9" i="18"/>
  <c r="E28" i="16"/>
  <c r="F18" i="16"/>
  <c r="AE10" i="18" l="1"/>
  <c r="AB10" i="18"/>
  <c r="Y10" i="18"/>
  <c r="F39" i="16"/>
  <c r="F28" i="16"/>
  <c r="G18" i="16"/>
  <c r="G39" i="16" s="1"/>
  <c r="Y11" i="18" l="1"/>
  <c r="AE11" i="18"/>
  <c r="AB11" i="18"/>
  <c r="H18" i="16"/>
  <c r="H39" i="16" s="1"/>
  <c r="G28" i="16"/>
  <c r="AE12" i="18" l="1"/>
  <c r="AB12" i="18"/>
  <c r="Y12" i="18"/>
  <c r="I18" i="16"/>
  <c r="H28" i="16"/>
  <c r="I28" i="16" s="1"/>
  <c r="J28" i="16" s="1"/>
  <c r="K28" i="16" s="1"/>
  <c r="L28" i="16" s="1"/>
  <c r="M28" i="16" s="1"/>
  <c r="N28" i="16" s="1"/>
  <c r="AE13" i="18" l="1"/>
  <c r="Y13" i="18"/>
  <c r="AB13" i="18"/>
  <c r="J18" i="16"/>
  <c r="I39" i="16"/>
  <c r="AE14" i="18" l="1"/>
  <c r="Y14" i="18"/>
  <c r="AB14" i="18"/>
  <c r="K18" i="16"/>
  <c r="J39" i="16"/>
  <c r="AE15" i="18" l="1"/>
  <c r="AB15" i="18"/>
  <c r="Y15" i="18"/>
  <c r="L18" i="16"/>
  <c r="K39" i="16"/>
  <c r="Y16" i="18" l="1"/>
  <c r="AE16" i="18"/>
  <c r="AB16" i="18"/>
  <c r="M18" i="16"/>
  <c r="L39" i="16"/>
  <c r="AE17" i="18" l="1"/>
  <c r="AB17" i="18"/>
  <c r="Y17" i="18"/>
  <c r="N18" i="16"/>
  <c r="N39" i="16" s="1"/>
  <c r="M39" i="16"/>
  <c r="AC141" i="11"/>
  <c r="I35" i="16" s="1"/>
  <c r="AB141" i="11"/>
  <c r="AA141" i="11"/>
  <c r="AA142" i="11" s="1"/>
  <c r="Z141" i="11"/>
  <c r="Z142" i="11" s="1"/>
  <c r="Y141" i="11"/>
  <c r="Y142" i="11" s="1"/>
  <c r="X141" i="11"/>
  <c r="H35" i="16" s="1"/>
  <c r="W141" i="11"/>
  <c r="V141" i="11"/>
  <c r="V142" i="11" s="1"/>
  <c r="U141" i="11"/>
  <c r="U142" i="11" s="1"/>
  <c r="T141" i="11"/>
  <c r="T142" i="11" s="1"/>
  <c r="S141" i="11"/>
  <c r="G35" i="16" s="1"/>
  <c r="R141" i="11"/>
  <c r="R142" i="11" s="1"/>
  <c r="Q141" i="11"/>
  <c r="Q142" i="11" s="1"/>
  <c r="P141" i="11"/>
  <c r="P142" i="11" s="1"/>
  <c r="O141" i="11"/>
  <c r="O142" i="11" s="1"/>
  <c r="N141" i="11"/>
  <c r="F35" i="16" s="1"/>
  <c r="M141" i="11"/>
  <c r="L141" i="11"/>
  <c r="K141" i="11"/>
  <c r="J141" i="11"/>
  <c r="I141" i="11"/>
  <c r="E35" i="16" s="1"/>
  <c r="AE69" i="11"/>
  <c r="AD69" i="11"/>
  <c r="AB53" i="11"/>
  <c r="AC52" i="11"/>
  <c r="AC43" i="11"/>
  <c r="AC144" i="11"/>
  <c r="I32" i="16" s="1"/>
  <c r="AD21" i="11"/>
  <c r="AD34" i="11"/>
  <c r="AD35" i="11" s="1"/>
  <c r="AD20" i="11"/>
  <c r="AC83" i="11"/>
  <c r="AC78" i="11" s="1"/>
  <c r="I11" i="18" s="1"/>
  <c r="V82" i="11"/>
  <c r="V77" i="11" s="1"/>
  <c r="V83" i="11"/>
  <c r="V78" i="11" s="1"/>
  <c r="AA83" i="11"/>
  <c r="AA78" i="11" s="1"/>
  <c r="AA82" i="11"/>
  <c r="AA77" i="11" s="1"/>
  <c r="U83" i="11"/>
  <c r="U78" i="11" s="1"/>
  <c r="U82" i="11"/>
  <c r="U77" i="11" s="1"/>
  <c r="Z83" i="11"/>
  <c r="Z78" i="11" s="1"/>
  <c r="Z82" i="11"/>
  <c r="Z77" i="11" s="1"/>
  <c r="T83" i="11"/>
  <c r="T78" i="11" s="1"/>
  <c r="T82" i="11"/>
  <c r="T77" i="11" s="1"/>
  <c r="Y83" i="11"/>
  <c r="Y78" i="11" s="1"/>
  <c r="Y82" i="11"/>
  <c r="Y77" i="11"/>
  <c r="W67" i="11"/>
  <c r="W68" i="11" s="1"/>
  <c r="W64" i="11"/>
  <c r="W66" i="11" s="1"/>
  <c r="W61" i="11"/>
  <c r="W58" i="11"/>
  <c r="W60" i="11" s="1"/>
  <c r="W53" i="11"/>
  <c r="W54" i="11" s="1"/>
  <c r="W50" i="11"/>
  <c r="W51" i="11" s="1"/>
  <c r="W47" i="11"/>
  <c r="W48" i="11" s="1"/>
  <c r="W44" i="11"/>
  <c r="W45" i="11" s="1"/>
  <c r="W41" i="11"/>
  <c r="W42" i="11" s="1"/>
  <c r="W31" i="11"/>
  <c r="W32" i="11" s="1"/>
  <c r="W28" i="11"/>
  <c r="W25" i="11"/>
  <c r="W26" i="11" s="1"/>
  <c r="W22" i="11"/>
  <c r="W19" i="11"/>
  <c r="W10" i="11"/>
  <c r="W8" i="11"/>
  <c r="W6" i="11"/>
  <c r="U7" i="11"/>
  <c r="AD68" i="11"/>
  <c r="AD65" i="11"/>
  <c r="AD63" i="11"/>
  <c r="AD62" i="11"/>
  <c r="AD59" i="11"/>
  <c r="AD55" i="11"/>
  <c r="AD54" i="11"/>
  <c r="AD52" i="11"/>
  <c r="AD51" i="11"/>
  <c r="AD49" i="11"/>
  <c r="AD48" i="11"/>
  <c r="AD46" i="11"/>
  <c r="AD45" i="11"/>
  <c r="AD43" i="11"/>
  <c r="AD42" i="11"/>
  <c r="AD33" i="11"/>
  <c r="AD32" i="11"/>
  <c r="AD30" i="11"/>
  <c r="AD29" i="11"/>
  <c r="AD27" i="11"/>
  <c r="AD26" i="11"/>
  <c r="AD24" i="11"/>
  <c r="AD23" i="11"/>
  <c r="AD15" i="11"/>
  <c r="AD12" i="11"/>
  <c r="AD9" i="11"/>
  <c r="AD7" i="11"/>
  <c r="Y7" i="11"/>
  <c r="AB67" i="11"/>
  <c r="AB64" i="11"/>
  <c r="AB61" i="11"/>
  <c r="AB62" i="11" s="1"/>
  <c r="AB58" i="11"/>
  <c r="AB60" i="11" s="1"/>
  <c r="AB50" i="11"/>
  <c r="AB47" i="11"/>
  <c r="AB48" i="11" s="1"/>
  <c r="AB44" i="11"/>
  <c r="AB45" i="11" s="1"/>
  <c r="AB41" i="11"/>
  <c r="AB31" i="11"/>
  <c r="AB28" i="11"/>
  <c r="AB25" i="11"/>
  <c r="AB26" i="11" s="1"/>
  <c r="AB22" i="11"/>
  <c r="AB19" i="11"/>
  <c r="AB10" i="11"/>
  <c r="AB8" i="11"/>
  <c r="AB6" i="11"/>
  <c r="Y34" i="11"/>
  <c r="Y36" i="11" s="1"/>
  <c r="G23" i="12"/>
  <c r="G20" i="12" s="1"/>
  <c r="G21" i="12"/>
  <c r="F21" i="12"/>
  <c r="E21" i="12"/>
  <c r="D21" i="12"/>
  <c r="G17" i="12"/>
  <c r="H17" i="12" s="1"/>
  <c r="F17" i="12"/>
  <c r="E17" i="12"/>
  <c r="D17" i="12"/>
  <c r="G13" i="12"/>
  <c r="F13" i="12"/>
  <c r="E13" i="12"/>
  <c r="D13" i="12"/>
  <c r="G9" i="12"/>
  <c r="H9" i="12" s="1"/>
  <c r="F9" i="12"/>
  <c r="E9" i="12"/>
  <c r="D9" i="12"/>
  <c r="G5" i="12"/>
  <c r="F5" i="12"/>
  <c r="E5" i="12"/>
  <c r="D5" i="12"/>
  <c r="V38" i="12"/>
  <c r="U38" i="12"/>
  <c r="T38" i="12"/>
  <c r="S38" i="12"/>
  <c r="R38" i="12"/>
  <c r="V36" i="12"/>
  <c r="U36" i="12"/>
  <c r="T36" i="12"/>
  <c r="S36" i="12"/>
  <c r="R36" i="12"/>
  <c r="V33" i="12"/>
  <c r="U33" i="12"/>
  <c r="T33" i="12"/>
  <c r="S33" i="12"/>
  <c r="R33" i="12"/>
  <c r="V30" i="12"/>
  <c r="U30" i="12"/>
  <c r="T30" i="12"/>
  <c r="S30" i="12"/>
  <c r="R30" i="12"/>
  <c r="U28" i="12"/>
  <c r="V28" i="12"/>
  <c r="T28" i="12"/>
  <c r="S28" i="12"/>
  <c r="R28" i="12"/>
  <c r="V26" i="12"/>
  <c r="U26" i="12"/>
  <c r="T26" i="12"/>
  <c r="S26" i="12"/>
  <c r="R26" i="12"/>
  <c r="E49" i="12"/>
  <c r="D49" i="12"/>
  <c r="C49" i="12"/>
  <c r="D48" i="12"/>
  <c r="E48" i="12" s="1"/>
  <c r="C42" i="12"/>
  <c r="G26" i="12"/>
  <c r="G22" i="12" s="1"/>
  <c r="F26" i="12"/>
  <c r="F22" i="12" s="1"/>
  <c r="E26" i="12"/>
  <c r="E18" i="12" s="1"/>
  <c r="D26" i="12"/>
  <c r="D18" i="12" s="1"/>
  <c r="C26" i="12"/>
  <c r="C10" i="12" s="1"/>
  <c r="F23" i="12"/>
  <c r="F8" i="12" s="1"/>
  <c r="E23" i="12"/>
  <c r="E8" i="12" s="1"/>
  <c r="D23" i="12"/>
  <c r="D12" i="12" s="1"/>
  <c r="C23" i="12"/>
  <c r="C20" i="12" s="1"/>
  <c r="D2" i="12"/>
  <c r="E2" i="12" s="1"/>
  <c r="F2" i="12" s="1"/>
  <c r="G2" i="12" s="1"/>
  <c r="H2" i="12" s="1"/>
  <c r="I2" i="12" s="1"/>
  <c r="J2" i="12" s="1"/>
  <c r="AA15" i="11"/>
  <c r="Z15" i="11"/>
  <c r="Y15" i="11"/>
  <c r="V15" i="11"/>
  <c r="U15" i="11"/>
  <c r="T15" i="11"/>
  <c r="R15" i="11"/>
  <c r="Q15" i="11"/>
  <c r="P15" i="11"/>
  <c r="O15" i="11"/>
  <c r="M15" i="11"/>
  <c r="L15" i="11"/>
  <c r="K15" i="11"/>
  <c r="J15" i="11"/>
  <c r="AC13" i="11"/>
  <c r="X13" i="11"/>
  <c r="X15" i="11" s="1"/>
  <c r="S13" i="11"/>
  <c r="S15" i="11" s="1"/>
  <c r="N13" i="11"/>
  <c r="N15" i="11" s="1"/>
  <c r="I13" i="11"/>
  <c r="I15" i="11" s="1"/>
  <c r="H41" i="6"/>
  <c r="F41" i="6"/>
  <c r="D41" i="6"/>
  <c r="B41" i="6"/>
  <c r="B42" i="6"/>
  <c r="AC14" i="11" s="1"/>
  <c r="J145" i="11"/>
  <c r="AB144" i="11"/>
  <c r="AA144" i="11"/>
  <c r="AA145" i="11" s="1"/>
  <c r="Z144" i="11"/>
  <c r="Z145" i="11" s="1"/>
  <c r="Y144" i="11"/>
  <c r="Y145" i="11" s="1"/>
  <c r="X144" i="11"/>
  <c r="H32" i="16" s="1"/>
  <c r="W144" i="11"/>
  <c r="V144" i="11"/>
  <c r="V146" i="11" s="1"/>
  <c r="U144" i="11"/>
  <c r="U145" i="11" s="1"/>
  <c r="T144" i="11"/>
  <c r="T145" i="11" s="1"/>
  <c r="S144" i="11"/>
  <c r="R144" i="11"/>
  <c r="R145" i="11" s="1"/>
  <c r="Q144" i="11"/>
  <c r="Q145" i="11" s="1"/>
  <c r="P144" i="11"/>
  <c r="P145" i="11" s="1"/>
  <c r="O144" i="11"/>
  <c r="O145" i="11" s="1"/>
  <c r="N144" i="11"/>
  <c r="F32" i="16" s="1"/>
  <c r="M144" i="11"/>
  <c r="M145" i="11" s="1"/>
  <c r="L144" i="11"/>
  <c r="L146" i="11" s="1"/>
  <c r="K144" i="11"/>
  <c r="K145" i="11" s="1"/>
  <c r="J144" i="11"/>
  <c r="J146" i="11" s="1"/>
  <c r="I144" i="11"/>
  <c r="G79" i="7"/>
  <c r="G81" i="7" s="1"/>
  <c r="F79" i="7"/>
  <c r="AC68" i="11"/>
  <c r="AA68" i="11"/>
  <c r="Z68" i="11"/>
  <c r="Y68" i="11"/>
  <c r="X68" i="11"/>
  <c r="V68" i="11"/>
  <c r="U68" i="11"/>
  <c r="T68" i="11"/>
  <c r="S68" i="11"/>
  <c r="R68" i="11"/>
  <c r="Q68" i="11"/>
  <c r="P68" i="11"/>
  <c r="O68" i="11"/>
  <c r="N68" i="11"/>
  <c r="AC65" i="11"/>
  <c r="AA65" i="11"/>
  <c r="Z65" i="11"/>
  <c r="Y65" i="11"/>
  <c r="X65" i="11"/>
  <c r="V65" i="11"/>
  <c r="U65" i="11"/>
  <c r="T65" i="11"/>
  <c r="S65" i="11"/>
  <c r="R65" i="11"/>
  <c r="Q65" i="11"/>
  <c r="P65" i="11"/>
  <c r="O65" i="11"/>
  <c r="N65" i="11"/>
  <c r="AC63" i="11"/>
  <c r="AA63" i="11"/>
  <c r="Z63" i="11"/>
  <c r="Y63" i="11"/>
  <c r="X63" i="11"/>
  <c r="V63" i="11"/>
  <c r="U63" i="11"/>
  <c r="T63" i="11"/>
  <c r="S63" i="11"/>
  <c r="R63" i="11"/>
  <c r="Q63" i="11"/>
  <c r="P63" i="11"/>
  <c r="O63" i="11"/>
  <c r="N63" i="11"/>
  <c r="M63" i="11"/>
  <c r="L63" i="11"/>
  <c r="K63" i="11"/>
  <c r="J63" i="11"/>
  <c r="AC62" i="11"/>
  <c r="AA62" i="11"/>
  <c r="Z62" i="11"/>
  <c r="Y62" i="11"/>
  <c r="X62" i="11"/>
  <c r="V62" i="11"/>
  <c r="U62" i="11"/>
  <c r="T62" i="11"/>
  <c r="S62" i="11"/>
  <c r="R62" i="11"/>
  <c r="Q62" i="11"/>
  <c r="P62" i="11"/>
  <c r="O62" i="11"/>
  <c r="N62" i="11"/>
  <c r="AC59" i="11"/>
  <c r="AA59" i="11"/>
  <c r="Z59" i="11"/>
  <c r="Y59" i="11"/>
  <c r="X59" i="11"/>
  <c r="V59" i="11"/>
  <c r="U59" i="11"/>
  <c r="T59" i="11"/>
  <c r="S59" i="11"/>
  <c r="R59" i="11"/>
  <c r="Q59" i="11"/>
  <c r="P59" i="11"/>
  <c r="O59" i="11"/>
  <c r="N59" i="11"/>
  <c r="AC54" i="11"/>
  <c r="AA54" i="11"/>
  <c r="Z54" i="11"/>
  <c r="Y54" i="11"/>
  <c r="X54" i="11"/>
  <c r="V54" i="11"/>
  <c r="U54" i="11"/>
  <c r="T54" i="11"/>
  <c r="S54" i="11"/>
  <c r="R54" i="11"/>
  <c r="Q54" i="11"/>
  <c r="P54" i="11"/>
  <c r="O54" i="11"/>
  <c r="N54" i="11"/>
  <c r="AA52" i="11"/>
  <c r="Z52" i="11"/>
  <c r="Y52" i="11"/>
  <c r="X52" i="11"/>
  <c r="V52" i="11"/>
  <c r="U52" i="11"/>
  <c r="T52" i="11"/>
  <c r="S52" i="11"/>
  <c r="R52" i="11"/>
  <c r="Q52" i="11"/>
  <c r="P52" i="11"/>
  <c r="O52" i="11"/>
  <c r="M52" i="11"/>
  <c r="L52" i="11"/>
  <c r="K52" i="11"/>
  <c r="J52" i="11"/>
  <c r="I52" i="11"/>
  <c r="AC51" i="11"/>
  <c r="AB51" i="11"/>
  <c r="AA51" i="11"/>
  <c r="Z51" i="11"/>
  <c r="Y51" i="11"/>
  <c r="X51" i="11"/>
  <c r="V51" i="11"/>
  <c r="U51" i="11"/>
  <c r="T51" i="11"/>
  <c r="S51" i="11"/>
  <c r="R51" i="11"/>
  <c r="Q51" i="11"/>
  <c r="P51" i="11"/>
  <c r="O51" i="11"/>
  <c r="N51" i="11"/>
  <c r="AC49" i="11"/>
  <c r="AA49" i="11"/>
  <c r="Z49" i="11"/>
  <c r="Y49" i="11"/>
  <c r="X49" i="11"/>
  <c r="V49" i="11"/>
  <c r="U49" i="11"/>
  <c r="T49" i="11"/>
  <c r="S49" i="11"/>
  <c r="R49" i="11"/>
  <c r="Q49" i="11"/>
  <c r="P49" i="11"/>
  <c r="O49" i="11"/>
  <c r="N49" i="11"/>
  <c r="M49" i="11"/>
  <c r="L49" i="11"/>
  <c r="K49" i="11"/>
  <c r="J49" i="11"/>
  <c r="I49" i="11"/>
  <c r="AC48" i="11"/>
  <c r="AA48" i="11"/>
  <c r="Z48" i="11"/>
  <c r="Y48" i="11"/>
  <c r="X48" i="11"/>
  <c r="V48" i="11"/>
  <c r="U48" i="11"/>
  <c r="T48" i="11"/>
  <c r="S48" i="11"/>
  <c r="R48" i="11"/>
  <c r="Q48" i="11"/>
  <c r="P48" i="11"/>
  <c r="O48" i="11"/>
  <c r="N48" i="11"/>
  <c r="AC46" i="11"/>
  <c r="AA46" i="11"/>
  <c r="Z46" i="11"/>
  <c r="Y46" i="11"/>
  <c r="X46" i="11"/>
  <c r="V46" i="11"/>
  <c r="U46" i="11"/>
  <c r="T46" i="11"/>
  <c r="S46" i="11"/>
  <c r="R46" i="11"/>
  <c r="Q46" i="11"/>
  <c r="P46" i="11"/>
  <c r="O46" i="11"/>
  <c r="N46" i="11"/>
  <c r="M46" i="11"/>
  <c r="L46" i="11"/>
  <c r="K46" i="11"/>
  <c r="J46" i="11"/>
  <c r="I46" i="11"/>
  <c r="AC45" i="11"/>
  <c r="AA45" i="11"/>
  <c r="Z45" i="11"/>
  <c r="Y45" i="11"/>
  <c r="X45" i="11"/>
  <c r="V45" i="11"/>
  <c r="U45" i="11"/>
  <c r="T45" i="11"/>
  <c r="S45" i="11"/>
  <c r="R45" i="11"/>
  <c r="Q45" i="11"/>
  <c r="P45" i="11"/>
  <c r="O45" i="11"/>
  <c r="N45" i="11"/>
  <c r="AA43" i="11"/>
  <c r="Z43" i="11"/>
  <c r="Y43" i="11"/>
  <c r="X43" i="11"/>
  <c r="V43" i="11"/>
  <c r="U43" i="11"/>
  <c r="T43" i="11"/>
  <c r="S43" i="11"/>
  <c r="R43" i="11"/>
  <c r="Q43" i="11"/>
  <c r="P43" i="11"/>
  <c r="O43" i="11"/>
  <c r="N43" i="11"/>
  <c r="M43" i="11"/>
  <c r="L43" i="11"/>
  <c r="K43" i="11"/>
  <c r="J43" i="11"/>
  <c r="I43" i="11"/>
  <c r="AC42" i="11"/>
  <c r="AA42" i="11"/>
  <c r="Z42" i="11"/>
  <c r="Y42" i="11"/>
  <c r="X42" i="11"/>
  <c r="V42" i="11"/>
  <c r="U42" i="11"/>
  <c r="T42" i="11"/>
  <c r="S42" i="11"/>
  <c r="R42" i="11"/>
  <c r="Q42" i="11"/>
  <c r="P42" i="11"/>
  <c r="O42" i="11"/>
  <c r="N42" i="11"/>
  <c r="AC33" i="11"/>
  <c r="AA33" i="11"/>
  <c r="Z33" i="11"/>
  <c r="Y33" i="11"/>
  <c r="X33" i="11"/>
  <c r="V33" i="11"/>
  <c r="U33" i="11"/>
  <c r="T33" i="11"/>
  <c r="S33" i="11"/>
  <c r="R33" i="11"/>
  <c r="Q33" i="11"/>
  <c r="P33" i="11"/>
  <c r="O33" i="11"/>
  <c r="N33" i="11"/>
  <c r="M33" i="11"/>
  <c r="L33" i="11"/>
  <c r="K33" i="11"/>
  <c r="J33" i="11"/>
  <c r="I33" i="11"/>
  <c r="AC32" i="11"/>
  <c r="AB32" i="11"/>
  <c r="AA32" i="11"/>
  <c r="Z32" i="11"/>
  <c r="Y32" i="11"/>
  <c r="X32" i="11"/>
  <c r="V32" i="11"/>
  <c r="U32" i="11"/>
  <c r="T32" i="11"/>
  <c r="S32" i="11"/>
  <c r="R32" i="11"/>
  <c r="Q32" i="11"/>
  <c r="P32" i="11"/>
  <c r="O32" i="11"/>
  <c r="N32" i="11"/>
  <c r="AC30" i="11"/>
  <c r="AA30" i="11"/>
  <c r="Z30" i="11"/>
  <c r="Y30" i="11"/>
  <c r="X30" i="11"/>
  <c r="V30" i="11"/>
  <c r="U30" i="11"/>
  <c r="T30" i="11"/>
  <c r="S30" i="11"/>
  <c r="R30" i="11"/>
  <c r="Q30" i="11"/>
  <c r="P30" i="11"/>
  <c r="O30" i="11"/>
  <c r="N30" i="11"/>
  <c r="M30" i="11"/>
  <c r="L30" i="11"/>
  <c r="K30" i="11"/>
  <c r="J30" i="11"/>
  <c r="I30" i="11"/>
  <c r="AC29" i="11"/>
  <c r="AB29" i="11"/>
  <c r="AA29" i="11"/>
  <c r="Z29" i="11"/>
  <c r="Y29" i="11"/>
  <c r="X29" i="11"/>
  <c r="W29" i="11"/>
  <c r="V29" i="11"/>
  <c r="U29" i="11"/>
  <c r="T29" i="11"/>
  <c r="S29" i="11"/>
  <c r="R29" i="11"/>
  <c r="Q29" i="11"/>
  <c r="P29" i="11"/>
  <c r="O29" i="11"/>
  <c r="N29" i="11"/>
  <c r="AC27" i="11"/>
  <c r="AA27" i="11"/>
  <c r="Z27" i="11"/>
  <c r="Y27" i="11"/>
  <c r="X27" i="11"/>
  <c r="V27" i="11"/>
  <c r="U27" i="11"/>
  <c r="T27" i="11"/>
  <c r="S27" i="11"/>
  <c r="R27" i="11"/>
  <c r="Q27" i="11"/>
  <c r="P27" i="11"/>
  <c r="O27" i="11"/>
  <c r="N27" i="11"/>
  <c r="M27" i="11"/>
  <c r="L27" i="11"/>
  <c r="K27" i="11"/>
  <c r="J27" i="11"/>
  <c r="I27" i="11"/>
  <c r="AC26" i="11"/>
  <c r="AA26" i="11"/>
  <c r="Z26" i="11"/>
  <c r="Y26" i="11"/>
  <c r="X26" i="11"/>
  <c r="V26" i="11"/>
  <c r="U26" i="11"/>
  <c r="T26" i="11"/>
  <c r="S26" i="11"/>
  <c r="R26" i="11"/>
  <c r="Q26" i="11"/>
  <c r="P26" i="11"/>
  <c r="O26" i="11"/>
  <c r="N26" i="11"/>
  <c r="AC24" i="11"/>
  <c r="AA24" i="11"/>
  <c r="Z24" i="11"/>
  <c r="Y24" i="11"/>
  <c r="X24" i="11"/>
  <c r="V24" i="11"/>
  <c r="U24" i="11"/>
  <c r="T24" i="11"/>
  <c r="S24" i="11"/>
  <c r="R24" i="11"/>
  <c r="Q24" i="11"/>
  <c r="P24" i="11"/>
  <c r="O24" i="11"/>
  <c r="N24" i="11"/>
  <c r="M24" i="11"/>
  <c r="L24" i="11"/>
  <c r="K24" i="11"/>
  <c r="J24" i="11"/>
  <c r="I24" i="11"/>
  <c r="AC23" i="11"/>
  <c r="AB23" i="11"/>
  <c r="AA23" i="11"/>
  <c r="Z23" i="11"/>
  <c r="Y23" i="11"/>
  <c r="X23" i="11"/>
  <c r="W23" i="11"/>
  <c r="V23" i="11"/>
  <c r="U23" i="11"/>
  <c r="T23" i="11"/>
  <c r="S23" i="11"/>
  <c r="R23" i="11"/>
  <c r="Q23" i="11"/>
  <c r="P23" i="11"/>
  <c r="O23" i="11"/>
  <c r="N23" i="11"/>
  <c r="AB42" i="11" l="1"/>
  <c r="H13" i="12"/>
  <c r="H21" i="12"/>
  <c r="H19" i="12" s="1"/>
  <c r="AB66" i="11"/>
  <c r="AB68" i="11"/>
  <c r="AC145" i="11"/>
  <c r="AC15" i="11"/>
  <c r="L145" i="11"/>
  <c r="AB54" i="11"/>
  <c r="O16" i="11"/>
  <c r="P16" i="11"/>
  <c r="Q16" i="11"/>
  <c r="W52" i="11"/>
  <c r="W74" i="11"/>
  <c r="M146" i="11"/>
  <c r="J14" i="18"/>
  <c r="I20" i="18"/>
  <c r="AB59" i="11"/>
  <c r="N142" i="11"/>
  <c r="AB24" i="11"/>
  <c r="AB74" i="11"/>
  <c r="G24" i="12"/>
  <c r="W63" i="11"/>
  <c r="X142" i="11"/>
  <c r="W38" i="12"/>
  <c r="AB145" i="11"/>
  <c r="AB142" i="11"/>
  <c r="AB27" i="11"/>
  <c r="AB30" i="11"/>
  <c r="H15" i="12"/>
  <c r="I17" i="12"/>
  <c r="J17" i="12" s="1"/>
  <c r="H7" i="12"/>
  <c r="I9" i="12"/>
  <c r="J9" i="12" s="1"/>
  <c r="H11" i="12"/>
  <c r="I13" i="12"/>
  <c r="J13" i="12" s="1"/>
  <c r="F60" i="16"/>
  <c r="F61" i="16" s="1"/>
  <c r="F33" i="16"/>
  <c r="W26" i="12"/>
  <c r="Z146" i="11"/>
  <c r="W142" i="11"/>
  <c r="O146" i="11"/>
  <c r="O147" i="11" s="1"/>
  <c r="AB43" i="11"/>
  <c r="AB46" i="11"/>
  <c r="AI46" i="11" s="1"/>
  <c r="AJ46" i="11" s="1"/>
  <c r="P146" i="11"/>
  <c r="I63" i="16"/>
  <c r="I64" i="16" s="1"/>
  <c r="I36" i="16"/>
  <c r="R16" i="11"/>
  <c r="W33" i="12"/>
  <c r="Q146" i="11"/>
  <c r="Q147" i="11" s="1"/>
  <c r="G36" i="16"/>
  <c r="G63" i="16"/>
  <c r="G64" i="16" s="1"/>
  <c r="W59" i="11"/>
  <c r="S145" i="11"/>
  <c r="G32" i="16"/>
  <c r="N145" i="11"/>
  <c r="T16" i="11"/>
  <c r="R146" i="11"/>
  <c r="U16" i="11"/>
  <c r="D24" i="12"/>
  <c r="S146" i="11"/>
  <c r="E36" i="16"/>
  <c r="E63" i="16"/>
  <c r="E64" i="16" s="1"/>
  <c r="AA146" i="11"/>
  <c r="AA147" i="11" s="1"/>
  <c r="AB49" i="11"/>
  <c r="AI49" i="11" s="1"/>
  <c r="AJ49" i="11" s="1"/>
  <c r="W27" i="11"/>
  <c r="AB63" i="11"/>
  <c r="I145" i="11"/>
  <c r="E32" i="16"/>
  <c r="V145" i="11"/>
  <c r="V16" i="11"/>
  <c r="E24" i="12"/>
  <c r="AD16" i="11"/>
  <c r="T146" i="11"/>
  <c r="K44" i="16"/>
  <c r="L44" i="16" s="1"/>
  <c r="M44" i="16" s="1"/>
  <c r="K42" i="16"/>
  <c r="L42" i="16" s="1"/>
  <c r="M42" i="16" s="1"/>
  <c r="AB33" i="11"/>
  <c r="AB52" i="11"/>
  <c r="W24" i="11"/>
  <c r="W30" i="11"/>
  <c r="X145" i="11"/>
  <c r="W15" i="11"/>
  <c r="W16" i="11" s="1"/>
  <c r="F24" i="12"/>
  <c r="I60" i="16"/>
  <c r="I61" i="16" s="1"/>
  <c r="I33" i="16"/>
  <c r="U146" i="11"/>
  <c r="S142" i="11"/>
  <c r="W62" i="11"/>
  <c r="W33" i="11"/>
  <c r="W145" i="11"/>
  <c r="Y16" i="11"/>
  <c r="I146" i="11"/>
  <c r="H36" i="16"/>
  <c r="H63" i="16"/>
  <c r="H64" i="16" s="1"/>
  <c r="AC142" i="11"/>
  <c r="AB146" i="11"/>
  <c r="W65" i="11"/>
  <c r="W43" i="11"/>
  <c r="W46" i="11"/>
  <c r="H60" i="16"/>
  <c r="H61" i="16" s="1"/>
  <c r="H33" i="16"/>
  <c r="Z16" i="11"/>
  <c r="W36" i="12"/>
  <c r="W146" i="11"/>
  <c r="W49" i="11"/>
  <c r="AB65" i="11"/>
  <c r="K146" i="11"/>
  <c r="Y146" i="11"/>
  <c r="Y147" i="11" s="1"/>
  <c r="F36" i="16"/>
  <c r="F63" i="16"/>
  <c r="F64" i="16" s="1"/>
  <c r="Y18" i="18"/>
  <c r="AB18" i="18"/>
  <c r="AE18" i="18"/>
  <c r="X146" i="11"/>
  <c r="AC146" i="11"/>
  <c r="N146" i="11"/>
  <c r="I7" i="12"/>
  <c r="AA16" i="11"/>
  <c r="AD36" i="11"/>
  <c r="AB15" i="11"/>
  <c r="W28" i="12"/>
  <c r="W30" i="12"/>
  <c r="C6" i="12"/>
  <c r="D6" i="12"/>
  <c r="E6" i="12"/>
  <c r="D10" i="12"/>
  <c r="C18" i="12"/>
  <c r="C22" i="12"/>
  <c r="G6" i="12"/>
  <c r="F6" i="12"/>
  <c r="F10" i="12"/>
  <c r="E14" i="12"/>
  <c r="F14" i="12"/>
  <c r="G14" i="12"/>
  <c r="F18" i="12"/>
  <c r="F25" i="12"/>
  <c r="E10" i="12"/>
  <c r="G18" i="12"/>
  <c r="D22" i="12"/>
  <c r="G10" i="12"/>
  <c r="E22" i="12"/>
  <c r="C14" i="12"/>
  <c r="D14" i="12"/>
  <c r="C25" i="12"/>
  <c r="D25" i="12"/>
  <c r="E25" i="12"/>
  <c r="G25" i="12"/>
  <c r="F20" i="12"/>
  <c r="E20" i="12"/>
  <c r="D20" i="12"/>
  <c r="F4" i="12"/>
  <c r="C8" i="12"/>
  <c r="G8" i="12"/>
  <c r="F12" i="12"/>
  <c r="C16" i="12"/>
  <c r="F16" i="12"/>
  <c r="C12" i="12"/>
  <c r="G12" i="12"/>
  <c r="D16" i="12"/>
  <c r="C4" i="12"/>
  <c r="G4" i="12"/>
  <c r="E12" i="12"/>
  <c r="E4" i="12"/>
  <c r="E16" i="12"/>
  <c r="D4" i="12"/>
  <c r="G16" i="12"/>
  <c r="D8" i="12"/>
  <c r="X16" i="11"/>
  <c r="S16" i="11"/>
  <c r="N16" i="11"/>
  <c r="AC16" i="11"/>
  <c r="AH16" i="11" s="1"/>
  <c r="I21" i="12" l="1"/>
  <c r="J21" i="12" s="1"/>
  <c r="AB16" i="11"/>
  <c r="W147" i="11"/>
  <c r="AJ43" i="11"/>
  <c r="U147" i="11"/>
  <c r="N147" i="11"/>
  <c r="R147" i="11"/>
  <c r="AH15" i="11"/>
  <c r="AI66" i="11"/>
  <c r="AJ66" i="11" s="1"/>
  <c r="AB147" i="11"/>
  <c r="I19" i="12"/>
  <c r="J19" i="12" s="1"/>
  <c r="X147" i="11"/>
  <c r="T147" i="11"/>
  <c r="Z147" i="11"/>
  <c r="V147" i="11"/>
  <c r="AH142" i="11"/>
  <c r="AI142" i="11" s="1"/>
  <c r="AJ142" i="11" s="1"/>
  <c r="I15" i="12"/>
  <c r="J15" i="12" s="1"/>
  <c r="E60" i="16"/>
  <c r="E61" i="16" s="1"/>
  <c r="E33" i="16"/>
  <c r="P147" i="11"/>
  <c r="G60" i="16"/>
  <c r="G61" i="16" s="1"/>
  <c r="G33" i="16"/>
  <c r="I11" i="12"/>
  <c r="J11" i="12" s="1"/>
  <c r="AE19" i="18"/>
  <c r="AB19" i="18"/>
  <c r="Y19" i="18"/>
  <c r="AC147" i="11"/>
  <c r="AH147" i="11" s="1"/>
  <c r="AI147" i="11" s="1"/>
  <c r="AJ147" i="11" s="1"/>
  <c r="S147" i="11"/>
  <c r="J7" i="12"/>
  <c r="AD38" i="11"/>
  <c r="AD37" i="11"/>
  <c r="AI16" i="11"/>
  <c r="AJ16" i="11" s="1"/>
  <c r="AH146" i="11" l="1"/>
  <c r="AI146" i="11" s="1"/>
  <c r="AJ146" i="11" s="1"/>
  <c r="Y20" i="18"/>
  <c r="AB20" i="18"/>
  <c r="AE20" i="18"/>
  <c r="AI15" i="11"/>
  <c r="AJ15" i="11" s="1"/>
  <c r="AE21" i="18" l="1"/>
  <c r="AB21" i="18"/>
  <c r="Y21" i="18"/>
  <c r="Y22" i="18" l="1"/>
  <c r="AE22" i="18"/>
  <c r="AB22" i="18"/>
  <c r="Y23" i="18" l="1"/>
  <c r="AB23" i="18"/>
  <c r="AE23" i="18"/>
  <c r="AB24" i="18" l="1"/>
  <c r="Y24" i="18"/>
  <c r="AE24" i="18"/>
  <c r="AB25" i="18" l="1"/>
  <c r="AE25" i="18"/>
  <c r="Y25" i="18"/>
  <c r="AE26" i="18" l="1"/>
  <c r="AB26" i="18"/>
  <c r="Y26" i="18"/>
  <c r="AE27" i="18" l="1"/>
  <c r="AB27" i="18"/>
  <c r="Y27" i="18"/>
  <c r="AE28" i="18" l="1"/>
  <c r="AB28" i="18"/>
  <c r="Y28" i="18"/>
  <c r="AE29" i="18" l="1"/>
  <c r="AB29" i="18"/>
  <c r="Y29" i="18"/>
  <c r="Y30" i="18" l="1"/>
  <c r="AE30" i="18"/>
  <c r="AB30" i="18"/>
  <c r="Y31" i="18" l="1"/>
  <c r="AE31" i="18"/>
  <c r="AB31" i="18"/>
  <c r="AB32" i="18" l="1"/>
  <c r="Y32" i="18"/>
  <c r="AE32" i="18"/>
  <c r="AE33" i="18" l="1"/>
  <c r="AB33" i="18"/>
  <c r="Y33" i="18"/>
  <c r="AE34" i="18" l="1"/>
  <c r="AB34" i="18"/>
  <c r="Y34" i="18"/>
  <c r="AE35" i="18" l="1"/>
  <c r="AB35" i="18"/>
  <c r="Y35" i="18"/>
  <c r="AE36" i="18" l="1"/>
  <c r="AB36" i="18"/>
  <c r="Y36" i="18"/>
  <c r="Y37" i="18" l="1"/>
  <c r="AE37" i="18"/>
  <c r="AB37" i="18"/>
  <c r="Y38" i="18" l="1"/>
  <c r="AE38" i="18"/>
  <c r="AB38" i="18"/>
  <c r="Y39" i="18" l="1"/>
  <c r="AB39" i="18"/>
  <c r="AE39" i="18"/>
  <c r="Y40" i="18" l="1"/>
  <c r="AE40" i="18"/>
  <c r="AB40" i="18"/>
  <c r="AB41" i="18" l="1"/>
  <c r="Y41" i="18"/>
  <c r="AE41" i="18"/>
  <c r="AE42" i="18" l="1"/>
  <c r="AB42" i="18"/>
  <c r="Y42" i="18"/>
  <c r="AE43" i="18" l="1"/>
  <c r="AB43" i="18"/>
  <c r="Y43" i="18"/>
  <c r="AE44" i="18" l="1"/>
  <c r="AB44" i="18"/>
  <c r="Y44" i="18"/>
  <c r="Y45" i="18" l="1"/>
  <c r="AE45" i="18"/>
  <c r="AB45" i="18"/>
  <c r="Y46" i="18" l="1"/>
  <c r="AB46" i="18"/>
  <c r="AE46" i="18"/>
  <c r="AE47" i="18" l="1"/>
  <c r="AB47" i="18"/>
  <c r="Y47" i="18"/>
  <c r="AE48" i="18" l="1"/>
  <c r="AB48" i="18"/>
  <c r="Y48" i="18"/>
  <c r="AC69" i="11" l="1"/>
  <c r="AB69" i="11"/>
  <c r="AA69" i="11"/>
  <c r="Z69" i="11"/>
  <c r="Y69" i="11"/>
  <c r="X69" i="11"/>
  <c r="W69" i="11"/>
  <c r="V69" i="11"/>
  <c r="U69" i="11"/>
  <c r="T69" i="11"/>
  <c r="S69" i="11"/>
  <c r="R69" i="11"/>
  <c r="Q69" i="11"/>
  <c r="P69" i="11"/>
  <c r="O69" i="11"/>
  <c r="N69" i="11"/>
  <c r="M69" i="11"/>
  <c r="L69" i="11"/>
  <c r="K69" i="11"/>
  <c r="J69" i="11"/>
  <c r="I69" i="11"/>
  <c r="AC55" i="11"/>
  <c r="AB55" i="11"/>
  <c r="AA55" i="11"/>
  <c r="Z55" i="11"/>
  <c r="Y55" i="11"/>
  <c r="X55" i="11"/>
  <c r="W55" i="11"/>
  <c r="V55" i="11"/>
  <c r="U55" i="11"/>
  <c r="T55" i="11"/>
  <c r="S55" i="11"/>
  <c r="R55" i="11"/>
  <c r="Q55" i="11"/>
  <c r="P55" i="11"/>
  <c r="O55" i="11"/>
  <c r="N55" i="11"/>
  <c r="M55" i="11"/>
  <c r="L55" i="11"/>
  <c r="K55" i="11"/>
  <c r="J55" i="11"/>
  <c r="I55" i="11"/>
  <c r="I21" i="11"/>
  <c r="AC21" i="11"/>
  <c r="AB21" i="11"/>
  <c r="AA21" i="11"/>
  <c r="Z21" i="11"/>
  <c r="Y21" i="11"/>
  <c r="X21" i="11"/>
  <c r="W21" i="11"/>
  <c r="V21" i="11"/>
  <c r="U21" i="11"/>
  <c r="T21" i="11"/>
  <c r="S21" i="11"/>
  <c r="R21" i="11"/>
  <c r="Q21" i="11"/>
  <c r="P21" i="11"/>
  <c r="O21" i="11"/>
  <c r="N21" i="11"/>
  <c r="M21" i="11"/>
  <c r="L21" i="11"/>
  <c r="K21" i="11"/>
  <c r="J21" i="11"/>
  <c r="N20" i="11"/>
  <c r="AC34" i="11"/>
  <c r="AB34" i="11"/>
  <c r="AA34" i="11"/>
  <c r="Z34" i="11"/>
  <c r="X34" i="11"/>
  <c r="W34" i="11"/>
  <c r="W36" i="11" s="1"/>
  <c r="V34" i="11"/>
  <c r="U34" i="11"/>
  <c r="T34" i="11"/>
  <c r="S34" i="11"/>
  <c r="R34" i="11"/>
  <c r="Q34" i="11"/>
  <c r="Q36" i="11" s="1"/>
  <c r="P34" i="11"/>
  <c r="P36" i="11" s="1"/>
  <c r="P38" i="11" s="1"/>
  <c r="O34" i="11"/>
  <c r="O36" i="11" s="1"/>
  <c r="N34" i="11"/>
  <c r="N36" i="11" s="1"/>
  <c r="M34" i="11"/>
  <c r="M36" i="11" s="1"/>
  <c r="M38" i="11" s="1"/>
  <c r="L34" i="11"/>
  <c r="L36" i="11" s="1"/>
  <c r="L38" i="11" s="1"/>
  <c r="K34" i="11"/>
  <c r="K36" i="11" s="1"/>
  <c r="K38" i="11" s="1"/>
  <c r="J34" i="11"/>
  <c r="J36" i="11" s="1"/>
  <c r="J38" i="11" s="1"/>
  <c r="I34" i="11"/>
  <c r="I36" i="11" s="1"/>
  <c r="I38" i="11" s="1"/>
  <c r="T41" i="6" s="1"/>
  <c r="AC20" i="11"/>
  <c r="AB20" i="11"/>
  <c r="AA20" i="11"/>
  <c r="Z20" i="11"/>
  <c r="Y20" i="11"/>
  <c r="X20" i="11"/>
  <c r="W20" i="11"/>
  <c r="V20" i="11"/>
  <c r="U20" i="11"/>
  <c r="T20" i="11"/>
  <c r="S20" i="11"/>
  <c r="R20" i="11"/>
  <c r="Q20" i="11"/>
  <c r="P20" i="11"/>
  <c r="O20" i="11"/>
  <c r="AC12" i="11"/>
  <c r="AB12" i="11"/>
  <c r="AA12" i="11"/>
  <c r="Z12" i="11"/>
  <c r="Y12" i="11"/>
  <c r="X12" i="11"/>
  <c r="W12" i="11"/>
  <c r="V12" i="11"/>
  <c r="U12" i="11"/>
  <c r="T12" i="11"/>
  <c r="S12" i="11"/>
  <c r="G5" i="18" s="1"/>
  <c r="R12" i="11"/>
  <c r="Q12" i="11"/>
  <c r="P12" i="11"/>
  <c r="O12" i="11"/>
  <c r="N12" i="11"/>
  <c r="AC9" i="11"/>
  <c r="AB9" i="11"/>
  <c r="AA9" i="11"/>
  <c r="Z9" i="11"/>
  <c r="Y9" i="11"/>
  <c r="X9" i="11"/>
  <c r="W9" i="11"/>
  <c r="V9" i="11"/>
  <c r="U9" i="11"/>
  <c r="T9" i="11"/>
  <c r="S9" i="11"/>
  <c r="R9" i="11"/>
  <c r="Q9" i="11"/>
  <c r="P9" i="11"/>
  <c r="O9" i="11"/>
  <c r="N9" i="11"/>
  <c r="O7" i="11"/>
  <c r="P7" i="11"/>
  <c r="Q7" i="11"/>
  <c r="R7" i="11"/>
  <c r="S7" i="11"/>
  <c r="T7" i="11"/>
  <c r="V7" i="11"/>
  <c r="W7" i="11"/>
  <c r="X7" i="11"/>
  <c r="Z7" i="11"/>
  <c r="AA7" i="11"/>
  <c r="AB7" i="11"/>
  <c r="AC7" i="11"/>
  <c r="N7" i="11"/>
  <c r="R35" i="11" l="1"/>
  <c r="T35" i="11"/>
  <c r="S35" i="11"/>
  <c r="C50" i="12"/>
  <c r="C51" i="12" s="1"/>
  <c r="C52" i="12" s="1"/>
  <c r="U35" i="11"/>
  <c r="AC36" i="11"/>
  <c r="AC38" i="11" s="1"/>
  <c r="P41" i="6" s="1"/>
  <c r="E50" i="12"/>
  <c r="E51" i="12" s="1"/>
  <c r="E52" i="12" s="1"/>
  <c r="AC35" i="11"/>
  <c r="V35" i="11"/>
  <c r="X36" i="11"/>
  <c r="D50" i="12"/>
  <c r="D51" i="12" s="1"/>
  <c r="D52" i="12" s="1"/>
  <c r="V36" i="11"/>
  <c r="U36" i="11"/>
  <c r="U37" i="11" s="1"/>
  <c r="AB36" i="11"/>
  <c r="AB38" i="11" s="1"/>
  <c r="AA36" i="11"/>
  <c r="AA38" i="11" s="1"/>
  <c r="Z36" i="11"/>
  <c r="Z37" i="11" s="1"/>
  <c r="Y38" i="11"/>
  <c r="Q37" i="11"/>
  <c r="Q38" i="11"/>
  <c r="W35" i="11"/>
  <c r="N37" i="11"/>
  <c r="X35" i="11"/>
  <c r="O37" i="11"/>
  <c r="Y35" i="11"/>
  <c r="P37" i="11"/>
  <c r="W38" i="11"/>
  <c r="N35" i="11"/>
  <c r="Z35" i="11"/>
  <c r="O35" i="11"/>
  <c r="AA35" i="11"/>
  <c r="R36" i="11"/>
  <c r="W37" i="11" s="1"/>
  <c r="P35" i="11"/>
  <c r="AB35" i="11"/>
  <c r="S36" i="11"/>
  <c r="N38" i="11"/>
  <c r="S41" i="6" s="1"/>
  <c r="Q35" i="11"/>
  <c r="T36" i="11"/>
  <c r="O38" i="11"/>
  <c r="P39" i="6"/>
  <c r="Q39" i="6"/>
  <c r="S39" i="6"/>
  <c r="R39" i="6"/>
  <c r="T39" i="6"/>
  <c r="AB78" i="11"/>
  <c r="AB83" i="11" s="1"/>
  <c r="X83" i="11"/>
  <c r="X78" i="11" s="1"/>
  <c r="S83" i="11"/>
  <c r="S78" i="11" s="1"/>
  <c r="N83" i="11"/>
  <c r="N78" i="11" s="1"/>
  <c r="I83" i="11"/>
  <c r="I78" i="11" s="1"/>
  <c r="AC82" i="11"/>
  <c r="X82" i="11"/>
  <c r="X77" i="11" s="1"/>
  <c r="W77" i="11" s="1"/>
  <c r="W82" i="11" s="1"/>
  <c r="S82" i="11"/>
  <c r="S77" i="11" s="1"/>
  <c r="N82" i="11"/>
  <c r="N77" i="11" s="1"/>
  <c r="I82" i="11"/>
  <c r="I77" i="11" s="1"/>
  <c r="F3" i="11"/>
  <c r="F4" i="11" s="1"/>
  <c r="AC37" i="11" l="1"/>
  <c r="Z38" i="11"/>
  <c r="W78" i="11"/>
  <c r="W83" i="11" s="1"/>
  <c r="H11" i="18"/>
  <c r="X38" i="11"/>
  <c r="Q41" i="6" s="1"/>
  <c r="AA37" i="11"/>
  <c r="G12" i="18"/>
  <c r="G11" i="18"/>
  <c r="G20" i="18" s="1"/>
  <c r="AB37" i="11"/>
  <c r="AC77" i="11"/>
  <c r="AB77" i="11" s="1"/>
  <c r="AB82" i="11" s="1"/>
  <c r="V37" i="11"/>
  <c r="X37" i="11"/>
  <c r="V38" i="11"/>
  <c r="U38" i="11"/>
  <c r="C45" i="12"/>
  <c r="S37" i="11"/>
  <c r="S38" i="11"/>
  <c r="R41" i="6" s="1"/>
  <c r="T37" i="11"/>
  <c r="T38" i="11"/>
  <c r="R37" i="11"/>
  <c r="R38" i="11"/>
  <c r="Y37" i="11"/>
  <c r="R27" i="7"/>
  <c r="G3" i="11"/>
  <c r="H12" i="18" l="1"/>
  <c r="H20" i="18"/>
  <c r="I12" i="18"/>
  <c r="D41" i="12"/>
  <c r="E41" i="12" s="1"/>
  <c r="D37" i="12"/>
  <c r="E37" i="12" s="1"/>
  <c r="D40" i="12"/>
  <c r="E40" i="12" s="1"/>
  <c r="D36" i="12"/>
  <c r="E36" i="12" s="1"/>
  <c r="D38" i="12"/>
  <c r="E38" i="12" s="1"/>
  <c r="D35" i="12"/>
  <c r="G4" i="11"/>
  <c r="H3" i="11"/>
  <c r="D42" i="12" l="1"/>
  <c r="E35" i="12"/>
  <c r="E42" i="12" s="1"/>
  <c r="I3" i="11"/>
  <c r="J3" i="11" s="1"/>
  <c r="H4" i="11"/>
  <c r="F42" i="12" l="1"/>
  <c r="K3" i="11"/>
  <c r="J4" i="11"/>
  <c r="H3" i="12" l="1"/>
  <c r="L3" i="11"/>
  <c r="K4" i="11"/>
  <c r="AE34" i="11" l="1"/>
  <c r="AE36" i="11" s="1"/>
  <c r="H23" i="12"/>
  <c r="I3" i="12"/>
  <c r="M3" i="11"/>
  <c r="L4" i="11"/>
  <c r="AE38" i="11" l="1"/>
  <c r="AE37" i="11"/>
  <c r="H24" i="12"/>
  <c r="I23" i="12"/>
  <c r="J3" i="12"/>
  <c r="J23" i="12" s="1"/>
  <c r="N3" i="11"/>
  <c r="M4" i="11"/>
  <c r="I24" i="12" l="1"/>
  <c r="J24" i="12"/>
  <c r="N4" i="11"/>
  <c r="O3" i="11"/>
  <c r="O4" i="11" l="1"/>
  <c r="P3" i="11"/>
  <c r="P4" i="11" l="1"/>
  <c r="Q3" i="11"/>
  <c r="Q4" i="11" l="1"/>
  <c r="R3" i="11"/>
  <c r="R4" i="11" l="1"/>
  <c r="S3" i="11"/>
  <c r="T3" i="11" l="1"/>
  <c r="S4" i="11"/>
  <c r="X3" i="11"/>
  <c r="T4" i="11" l="1"/>
  <c r="U3" i="11"/>
  <c r="X4" i="11"/>
  <c r="AC3" i="11"/>
  <c r="AC4" i="11" l="1"/>
  <c r="AH3" i="11"/>
  <c r="V3" i="11"/>
  <c r="U4" i="11"/>
  <c r="W3" i="11" l="1"/>
  <c r="V4" i="11"/>
  <c r="AJ3" i="11"/>
  <c r="AJ4" i="11" s="1"/>
  <c r="AH4" i="11"/>
  <c r="Y3" i="11" l="1"/>
  <c r="W4" i="11"/>
  <c r="Z3" i="11" l="1"/>
  <c r="Y4" i="11"/>
  <c r="Z4" i="11" l="1"/>
  <c r="AA3" i="11"/>
  <c r="AA4" i="11" l="1"/>
  <c r="AB3" i="11"/>
  <c r="AB4" i="11" l="1"/>
  <c r="AD3" i="11"/>
  <c r="AD4" i="11" l="1"/>
  <c r="AE3" i="11"/>
  <c r="AE4" i="11" l="1"/>
  <c r="AF3" i="11"/>
  <c r="AF4" i="11" l="1"/>
  <c r="AG3" i="11"/>
  <c r="AI3" i="11" l="1"/>
  <c r="AI4" i="11" s="1"/>
  <c r="AG4" i="11"/>
  <c r="I33" i="9" l="1"/>
  <c r="I29" i="9" s="1"/>
  <c r="I32" i="9"/>
  <c r="I28" i="9" s="1"/>
  <c r="N33" i="9"/>
  <c r="N29" i="9" s="1"/>
  <c r="N32" i="9"/>
  <c r="N28" i="9" s="1"/>
  <c r="S32" i="9"/>
  <c r="S28" i="9" s="1"/>
  <c r="S33" i="9"/>
  <c r="S29" i="9" s="1"/>
  <c r="X33" i="9"/>
  <c r="X29" i="9" s="1"/>
  <c r="X32" i="9"/>
  <c r="X28" i="9" s="1"/>
  <c r="AC32" i="9"/>
  <c r="AC28" i="9" s="1"/>
  <c r="AC33" i="9"/>
  <c r="AC29" i="9" s="1"/>
  <c r="H42" i="6" l="1"/>
  <c r="N14" i="11" s="1"/>
  <c r="S40" i="6" l="1"/>
  <c r="R40" i="6"/>
  <c r="Q40" i="6"/>
  <c r="P40" i="6"/>
  <c r="K49" i="7" l="1"/>
  <c r="J49" i="7"/>
  <c r="F3" i="9" l="1"/>
  <c r="F4" i="9" l="1"/>
  <c r="G3" i="9"/>
  <c r="G4" i="9" l="1"/>
  <c r="H3" i="9"/>
  <c r="I3" i="9" l="1"/>
  <c r="H4" i="9"/>
  <c r="J3" i="9" l="1"/>
  <c r="J4" i="9" l="1"/>
  <c r="K3" i="9"/>
  <c r="K4" i="9" l="1"/>
  <c r="L3" i="9"/>
  <c r="L4" i="9" l="1"/>
  <c r="M3" i="9"/>
  <c r="N3" i="9" l="1"/>
  <c r="M4" i="9"/>
  <c r="O3" i="9" l="1"/>
  <c r="N4" i="9"/>
  <c r="P3" i="9" l="1"/>
  <c r="O4" i="9"/>
  <c r="Q3" i="9" l="1"/>
  <c r="P4" i="9"/>
  <c r="Q4" i="9" l="1"/>
  <c r="R3" i="9"/>
  <c r="R4" i="9" l="1"/>
  <c r="S3" i="9"/>
  <c r="X3" i="9" l="1"/>
  <c r="S4" i="9"/>
  <c r="T3" i="9"/>
  <c r="T4" i="9" l="1"/>
  <c r="U3" i="9"/>
  <c r="X4" i="9"/>
  <c r="AC3" i="9"/>
  <c r="AH3" i="9" l="1"/>
  <c r="AC4" i="9"/>
  <c r="U4" i="9"/>
  <c r="V3" i="9"/>
  <c r="V4" i="9" l="1"/>
  <c r="W3" i="9"/>
  <c r="AH4" i="9"/>
  <c r="AJ3" i="9"/>
  <c r="AJ4" i="9" s="1"/>
  <c r="W4" i="9" l="1"/>
  <c r="Y3" i="9"/>
  <c r="Z3" i="9" l="1"/>
  <c r="Y4" i="9"/>
  <c r="AA3" i="9" l="1"/>
  <c r="Z4" i="9"/>
  <c r="AB3" i="9" l="1"/>
  <c r="AA4" i="9"/>
  <c r="AB4" i="9" l="1"/>
  <c r="AD3" i="9"/>
  <c r="AD4" i="9" l="1"/>
  <c r="AE3" i="9"/>
  <c r="AE4" i="9" l="1"/>
  <c r="AF3" i="9"/>
  <c r="AF4" i="9" l="1"/>
  <c r="AG3" i="9"/>
  <c r="AG4" i="9" l="1"/>
  <c r="AI3" i="9"/>
  <c r="AI4" i="9" s="1"/>
  <c r="N9" i="7" l="1"/>
  <c r="O9" i="7"/>
  <c r="U9" i="7"/>
  <c r="V9" i="7"/>
  <c r="B11" i="7"/>
  <c r="B13" i="7"/>
  <c r="A14" i="7"/>
  <c r="A15" i="7" s="1"/>
  <c r="A16" i="7" s="1"/>
  <c r="A17" i="7" s="1"/>
  <c r="A18" i="7" s="1"/>
  <c r="A19" i="7" s="1"/>
  <c r="B14" i="7"/>
  <c r="B15" i="7"/>
  <c r="B16" i="7"/>
  <c r="B17" i="7"/>
  <c r="B18" i="7"/>
  <c r="B19" i="7"/>
  <c r="C32" i="7"/>
  <c r="P35" i="7"/>
  <c r="Q35" i="7"/>
  <c r="AA14" i="7" l="1"/>
  <c r="Z14" i="7"/>
  <c r="Y14" i="7"/>
  <c r="X14" i="7"/>
  <c r="AC14" i="7"/>
  <c r="AB14" i="7"/>
  <c r="Y13" i="7"/>
  <c r="X13" i="7"/>
  <c r="AC13" i="7"/>
  <c r="AB13" i="7"/>
  <c r="AA13" i="7"/>
  <c r="Z13" i="7"/>
  <c r="AC19" i="7"/>
  <c r="AB19" i="7"/>
  <c r="AA19" i="7"/>
  <c r="Z19" i="7"/>
  <c r="Y19" i="7"/>
  <c r="X19" i="7"/>
  <c r="AC11" i="7"/>
  <c r="AB11" i="7"/>
  <c r="AA11" i="7"/>
  <c r="Z11" i="7"/>
  <c r="Y11" i="7"/>
  <c r="X11" i="7"/>
  <c r="N11" i="7"/>
  <c r="J50" i="7" s="1"/>
  <c r="AA18" i="7"/>
  <c r="Z18" i="7"/>
  <c r="Y18" i="7"/>
  <c r="X18" i="7"/>
  <c r="AC18" i="7"/>
  <c r="AB18" i="7"/>
  <c r="Y17" i="7"/>
  <c r="X17" i="7"/>
  <c r="AC17" i="7"/>
  <c r="AB17" i="7"/>
  <c r="AA17" i="7"/>
  <c r="Z17" i="7"/>
  <c r="AC16" i="7"/>
  <c r="AB16" i="7"/>
  <c r="AA16" i="7"/>
  <c r="Z16" i="7"/>
  <c r="Y16" i="7"/>
  <c r="X16" i="7"/>
  <c r="AC15" i="7"/>
  <c r="AB15" i="7"/>
  <c r="AA15" i="7"/>
  <c r="Z15" i="7"/>
  <c r="Y15" i="7"/>
  <c r="X15" i="7"/>
  <c r="D50" i="7"/>
  <c r="F71" i="7" s="1"/>
  <c r="O11" i="7"/>
  <c r="K50" i="7" s="1"/>
  <c r="D53" i="7"/>
  <c r="F74" i="7" s="1"/>
  <c r="N15" i="7"/>
  <c r="J53" i="7" s="1"/>
  <c r="O15" i="7"/>
  <c r="K53" i="7" s="1"/>
  <c r="D54" i="7"/>
  <c r="F75" i="7" s="1"/>
  <c r="O16" i="7"/>
  <c r="K54" i="7" s="1"/>
  <c r="N16" i="7"/>
  <c r="J54" i="7" s="1"/>
  <c r="D55" i="7"/>
  <c r="F76" i="7" s="1"/>
  <c r="N17" i="7"/>
  <c r="J55" i="7" s="1"/>
  <c r="O17" i="7"/>
  <c r="K55" i="7" s="1"/>
  <c r="D52" i="7"/>
  <c r="F73" i="7" s="1"/>
  <c r="O14" i="7"/>
  <c r="K52" i="7" s="1"/>
  <c r="N14" i="7"/>
  <c r="J52" i="7" s="1"/>
  <c r="D51" i="7"/>
  <c r="F72" i="7" s="1"/>
  <c r="O13" i="7"/>
  <c r="K51" i="7" s="1"/>
  <c r="N13" i="7"/>
  <c r="J51" i="7" s="1"/>
  <c r="D57" i="7"/>
  <c r="F78" i="7" s="1"/>
  <c r="O19" i="7"/>
  <c r="K57" i="7" s="1"/>
  <c r="N19" i="7"/>
  <c r="J57" i="7" s="1"/>
  <c r="D56" i="7"/>
  <c r="F77" i="7" s="1"/>
  <c r="O18" i="7"/>
  <c r="K56" i="7" s="1"/>
  <c r="N18" i="7"/>
  <c r="J56" i="7" s="1"/>
  <c r="R28" i="7"/>
  <c r="R29" i="7" s="1"/>
  <c r="C19" i="7"/>
  <c r="F38" i="7"/>
  <c r="G38" i="7" s="1"/>
  <c r="Q27" i="7"/>
  <c r="Q28" i="7" s="1"/>
  <c r="Q29" i="7" s="1"/>
  <c r="C14" i="7"/>
  <c r="P27" i="7"/>
  <c r="P28" i="7" s="1"/>
  <c r="P29" i="7" s="1"/>
  <c r="F40" i="7"/>
  <c r="G40" i="7" s="1"/>
  <c r="J27" i="7"/>
  <c r="J28" i="7" s="1"/>
  <c r="J29" i="7" s="1"/>
  <c r="C13" i="7"/>
  <c r="F36" i="7"/>
  <c r="G36" i="7" s="1"/>
  <c r="F42" i="7"/>
  <c r="G42" i="7" s="1"/>
  <c r="C18" i="7"/>
  <c r="C11" i="7"/>
  <c r="C17" i="7"/>
  <c r="C15" i="7"/>
  <c r="D32" i="7"/>
  <c r="D19" i="7" s="1"/>
  <c r="C16" i="7"/>
  <c r="F42" i="6"/>
  <c r="S14" i="11" s="1"/>
  <c r="D42" i="6"/>
  <c r="X14" i="11" s="1"/>
  <c r="P34" i="6"/>
  <c r="Q34" i="6"/>
  <c r="R34" i="6"/>
  <c r="S34" i="6"/>
  <c r="T34" i="6"/>
  <c r="B48" i="6"/>
  <c r="C48" i="6"/>
  <c r="C63" i="6" s="1"/>
  <c r="D48" i="6"/>
  <c r="E48" i="6"/>
  <c r="F48" i="6"/>
  <c r="G48" i="6"/>
  <c r="H48" i="6"/>
  <c r="I48" i="6"/>
  <c r="J48" i="6"/>
  <c r="K48" i="6"/>
  <c r="L48" i="6"/>
  <c r="M48" i="6"/>
  <c r="N48" i="6"/>
  <c r="O48" i="6"/>
  <c r="B51" i="6"/>
  <c r="C51" i="6"/>
  <c r="D51" i="6"/>
  <c r="E51" i="6"/>
  <c r="F51" i="6"/>
  <c r="G51" i="6"/>
  <c r="H51" i="6"/>
  <c r="I51" i="6"/>
  <c r="J51" i="6"/>
  <c r="K51" i="6"/>
  <c r="L51" i="6"/>
  <c r="M51" i="6"/>
  <c r="N51" i="6"/>
  <c r="B52" i="6"/>
  <c r="C52" i="6"/>
  <c r="D52" i="6"/>
  <c r="E52" i="6"/>
  <c r="F52" i="6"/>
  <c r="G52" i="6"/>
  <c r="H52" i="6"/>
  <c r="I52" i="6"/>
  <c r="J52" i="6"/>
  <c r="K52" i="6"/>
  <c r="L52" i="6"/>
  <c r="M52" i="6"/>
  <c r="N52" i="6"/>
  <c r="B57" i="6"/>
  <c r="C57" i="6"/>
  <c r="D57" i="6"/>
  <c r="E57" i="6"/>
  <c r="F57" i="6"/>
  <c r="G57" i="6"/>
  <c r="H57" i="6"/>
  <c r="I57" i="6"/>
  <c r="J57" i="6"/>
  <c r="K57" i="6"/>
  <c r="L57" i="6"/>
  <c r="M57" i="6"/>
  <c r="N57" i="6"/>
  <c r="B58" i="6"/>
  <c r="C58" i="6"/>
  <c r="D58" i="6"/>
  <c r="E58" i="6"/>
  <c r="F58" i="6"/>
  <c r="G58" i="6"/>
  <c r="H58" i="6"/>
  <c r="I58" i="6"/>
  <c r="J58" i="6"/>
  <c r="K58" i="6"/>
  <c r="L58" i="6"/>
  <c r="M58" i="6"/>
  <c r="N58" i="6"/>
  <c r="X21" i="7" l="1"/>
  <c r="X22" i="7"/>
  <c r="Y21" i="7"/>
  <c r="Y22" i="7"/>
  <c r="Z22" i="7"/>
  <c r="Z21" i="7"/>
  <c r="AA22" i="7"/>
  <c r="AA21" i="7"/>
  <c r="AB22" i="7"/>
  <c r="AB21" i="7"/>
  <c r="AC22" i="7"/>
  <c r="AC21" i="7"/>
  <c r="D14" i="7"/>
  <c r="D13" i="7"/>
  <c r="D15" i="7"/>
  <c r="D18" i="7"/>
  <c r="C64" i="6"/>
  <c r="D64" i="6" s="1"/>
  <c r="C53" i="6"/>
  <c r="C54" i="6" s="1"/>
  <c r="C59" i="6"/>
  <c r="B53" i="6"/>
  <c r="B54" i="6" s="1"/>
  <c r="D53" i="6"/>
  <c r="D54" i="6" s="1"/>
  <c r="L59" i="6"/>
  <c r="C60" i="6"/>
  <c r="K59" i="6"/>
  <c r="D11" i="7"/>
  <c r="K58" i="7"/>
  <c r="K60" i="7" s="1"/>
  <c r="D17" i="7"/>
  <c r="D16" i="7"/>
  <c r="J58" i="7"/>
  <c r="J60" i="7" s="1"/>
  <c r="N59" i="6"/>
  <c r="B59" i="6"/>
  <c r="M59" i="6"/>
  <c r="J59" i="6"/>
  <c r="K53" i="6"/>
  <c r="K54" i="6" s="1"/>
  <c r="I59" i="6"/>
  <c r="H53" i="6"/>
  <c r="H54" i="6" s="1"/>
  <c r="D59" i="6"/>
  <c r="K60" i="6"/>
  <c r="D63" i="6"/>
  <c r="N53" i="6"/>
  <c r="N54" i="6" s="1"/>
  <c r="F39" i="7"/>
  <c r="G39" i="7" s="1"/>
  <c r="F41" i="7"/>
  <c r="G41" i="7" s="1"/>
  <c r="F43" i="7"/>
  <c r="G43" i="7" s="1"/>
  <c r="E32" i="7"/>
  <c r="F37" i="7"/>
  <c r="G37" i="7" s="1"/>
  <c r="F53" i="6"/>
  <c r="F54" i="6" s="1"/>
  <c r="E53" i="6"/>
  <c r="E54" i="6" s="1"/>
  <c r="M53" i="6"/>
  <c r="M54" i="6" s="1"/>
  <c r="L53" i="6"/>
  <c r="L54" i="6" s="1"/>
  <c r="J53" i="6"/>
  <c r="J54" i="6" s="1"/>
  <c r="I53" i="6"/>
  <c r="I54" i="6" s="1"/>
  <c r="G59" i="6"/>
  <c r="F59" i="6"/>
  <c r="H59" i="6"/>
  <c r="E59" i="6"/>
  <c r="G60" i="6"/>
  <c r="G53" i="6"/>
  <c r="G54" i="6" s="1"/>
  <c r="D65" i="6" l="1"/>
  <c r="AH14" i="11"/>
  <c r="AH13" i="11" s="1"/>
  <c r="E14" i="7"/>
  <c r="E11" i="7"/>
  <c r="E15" i="7"/>
  <c r="E17" i="7"/>
  <c r="E19" i="7"/>
  <c r="E13" i="7"/>
  <c r="E16" i="7"/>
  <c r="E18" i="7"/>
  <c r="F32" i="7"/>
  <c r="AH10" i="11" l="1"/>
  <c r="AH36" i="11" s="1"/>
  <c r="AH37" i="11" s="1"/>
  <c r="AH41" i="11"/>
  <c r="AI14" i="11"/>
  <c r="AJ14" i="11" s="1"/>
  <c r="F14" i="7"/>
  <c r="F15" i="7"/>
  <c r="F17" i="7"/>
  <c r="F19" i="7"/>
  <c r="F11" i="7"/>
  <c r="F13" i="7"/>
  <c r="F18" i="7"/>
  <c r="F16" i="7"/>
  <c r="G32" i="7"/>
  <c r="H26" i="12" l="1"/>
  <c r="H25" i="12" s="1"/>
  <c r="AH144" i="11"/>
  <c r="J32" i="16" s="1"/>
  <c r="AI13" i="11"/>
  <c r="G16" i="7"/>
  <c r="G15" i="7"/>
  <c r="G11" i="7"/>
  <c r="G13" i="7"/>
  <c r="G18" i="7"/>
  <c r="G17" i="7"/>
  <c r="G19" i="7"/>
  <c r="G14" i="7"/>
  <c r="H32" i="7"/>
  <c r="I32" i="7" s="1"/>
  <c r="J32" i="7" s="1"/>
  <c r="K32" i="7" s="1"/>
  <c r="I11" i="7" s="1"/>
  <c r="E50" i="7" s="1"/>
  <c r="F27" i="7" l="1"/>
  <c r="V27" i="7" s="1"/>
  <c r="Z27" i="7" s="1"/>
  <c r="J19" i="16"/>
  <c r="J4" i="18" s="1"/>
  <c r="J18" i="18" s="1"/>
  <c r="AI41" i="11"/>
  <c r="AH141" i="11"/>
  <c r="J35" i="16" s="1"/>
  <c r="J36" i="16" s="1"/>
  <c r="AH12" i="11"/>
  <c r="AI47" i="11"/>
  <c r="AI44" i="11"/>
  <c r="AH58" i="11"/>
  <c r="AJ41" i="11"/>
  <c r="AJ47" i="11"/>
  <c r="AH47" i="11"/>
  <c r="AJ44" i="11"/>
  <c r="AH44" i="11"/>
  <c r="AI144" i="11"/>
  <c r="K32" i="16" s="1"/>
  <c r="AJ13" i="11"/>
  <c r="AI10" i="11"/>
  <c r="AI36" i="11" s="1"/>
  <c r="I26" i="12"/>
  <c r="I25" i="12" s="1"/>
  <c r="F26" i="7"/>
  <c r="V26" i="7" s="1"/>
  <c r="Z26" i="7" s="1"/>
  <c r="F28" i="7"/>
  <c r="V28" i="7" s="1"/>
  <c r="Z28" i="7" s="1"/>
  <c r="F29" i="7"/>
  <c r="V29" i="7" s="1"/>
  <c r="Z29" i="7" s="1"/>
  <c r="I17" i="7"/>
  <c r="E55" i="7" s="1"/>
  <c r="L32" i="7"/>
  <c r="J11" i="7" s="1"/>
  <c r="I16" i="7"/>
  <c r="E54" i="7" s="1"/>
  <c r="I13" i="7"/>
  <c r="E51" i="7" s="1"/>
  <c r="I19" i="7"/>
  <c r="E57" i="7" s="1"/>
  <c r="I18" i="7"/>
  <c r="E56" i="7" s="1"/>
  <c r="I15" i="7"/>
  <c r="E53" i="7" s="1"/>
  <c r="I14" i="7"/>
  <c r="E52" i="7" s="1"/>
  <c r="AH53" i="11" l="1"/>
  <c r="J5" i="18"/>
  <c r="K19" i="16"/>
  <c r="K4" i="18" s="1"/>
  <c r="AI12" i="11"/>
  <c r="AI141" i="11"/>
  <c r="K35" i="16" s="1"/>
  <c r="AI58" i="11"/>
  <c r="E58" i="7"/>
  <c r="E60" i="7" s="1"/>
  <c r="E66" i="7" s="1"/>
  <c r="J26" i="12"/>
  <c r="J25" i="12" s="1"/>
  <c r="AJ10" i="11"/>
  <c r="AJ144" i="11"/>
  <c r="L32" i="16" s="1"/>
  <c r="J64" i="16"/>
  <c r="J33" i="16"/>
  <c r="J61" i="16" s="1"/>
  <c r="J20" i="16"/>
  <c r="F50" i="7"/>
  <c r="Q11" i="7"/>
  <c r="J17" i="7"/>
  <c r="F55" i="7" s="1"/>
  <c r="M32" i="7"/>
  <c r="K11" i="7" s="1"/>
  <c r="J16" i="7"/>
  <c r="F54" i="7" s="1"/>
  <c r="J18" i="7"/>
  <c r="F56" i="7" s="1"/>
  <c r="J15" i="7"/>
  <c r="F53" i="7" s="1"/>
  <c r="J13" i="7"/>
  <c r="F51" i="7" s="1"/>
  <c r="J19" i="7"/>
  <c r="F57" i="7" s="1"/>
  <c r="J14" i="7"/>
  <c r="F52" i="7" s="1"/>
  <c r="AJ36" i="11" l="1"/>
  <c r="L19" i="16"/>
  <c r="AH64" i="11"/>
  <c r="AH55" i="11"/>
  <c r="K5" i="18"/>
  <c r="K18" i="18"/>
  <c r="F58" i="7"/>
  <c r="F60" i="7" s="1"/>
  <c r="M10" i="16"/>
  <c r="J43" i="16"/>
  <c r="J40" i="16" s="1"/>
  <c r="J60" i="16" s="1"/>
  <c r="L4" i="18"/>
  <c r="AJ141" i="11"/>
  <c r="L35" i="16" s="1"/>
  <c r="L36" i="16" s="1"/>
  <c r="L64" i="16" s="1"/>
  <c r="AJ12" i="11"/>
  <c r="AJ58" i="11"/>
  <c r="K36" i="16"/>
  <c r="K64" i="16" s="1"/>
  <c r="AI37" i="11"/>
  <c r="AI53" i="11"/>
  <c r="J22" i="16"/>
  <c r="AH61" i="11"/>
  <c r="K33" i="16"/>
  <c r="K61" i="16" s="1"/>
  <c r="K20" i="16"/>
  <c r="K43" i="16" s="1"/>
  <c r="H26" i="7"/>
  <c r="G50" i="7"/>
  <c r="Q13" i="7"/>
  <c r="U13" i="7"/>
  <c r="U11" i="7"/>
  <c r="Q14" i="7"/>
  <c r="U14" i="7"/>
  <c r="Q18" i="7"/>
  <c r="U18" i="7"/>
  <c r="Q16" i="7"/>
  <c r="U16" i="7"/>
  <c r="Q15" i="7"/>
  <c r="U15" i="7"/>
  <c r="K16" i="7"/>
  <c r="G54" i="7" s="1"/>
  <c r="K14" i="7"/>
  <c r="K17" i="7"/>
  <c r="G55" i="7" s="1"/>
  <c r="N32" i="7"/>
  <c r="L11" i="7" s="1"/>
  <c r="H50" i="7" s="1"/>
  <c r="K19" i="7"/>
  <c r="G57" i="7" s="1"/>
  <c r="K18" i="7"/>
  <c r="G56" i="7" s="1"/>
  <c r="K15" i="7"/>
  <c r="G53" i="7" s="1"/>
  <c r="K13" i="7"/>
  <c r="G51" i="7" s="1"/>
  <c r="Q19" i="7"/>
  <c r="U19" i="7"/>
  <c r="Q17" i="7"/>
  <c r="U17" i="7"/>
  <c r="AI64" i="11" l="1"/>
  <c r="AI55" i="11"/>
  <c r="J23" i="16"/>
  <c r="M12" i="16" s="1"/>
  <c r="L5" i="18"/>
  <c r="L18" i="18"/>
  <c r="AH67" i="11"/>
  <c r="F66" i="7"/>
  <c r="F61" i="7"/>
  <c r="AJ37" i="11"/>
  <c r="AJ53" i="11"/>
  <c r="M64" i="16"/>
  <c r="L33" i="16"/>
  <c r="L61" i="16" s="1"/>
  <c r="L20" i="16"/>
  <c r="J63" i="16"/>
  <c r="J57" i="16"/>
  <c r="K40" i="16"/>
  <c r="K60" i="16" s="1"/>
  <c r="AI61" i="11"/>
  <c r="AI67" i="11" s="1"/>
  <c r="K22" i="16"/>
  <c r="G52" i="7"/>
  <c r="G58" i="7"/>
  <c r="G60" i="7" s="1"/>
  <c r="Q21" i="7"/>
  <c r="R16" i="7"/>
  <c r="V16" i="7"/>
  <c r="R17" i="7"/>
  <c r="V17" i="7"/>
  <c r="R13" i="7"/>
  <c r="V13" i="7"/>
  <c r="R14" i="7"/>
  <c r="V14" i="7"/>
  <c r="R18" i="7"/>
  <c r="V18" i="7"/>
  <c r="U21" i="7"/>
  <c r="U22" i="7"/>
  <c r="R11" i="7"/>
  <c r="V11" i="7"/>
  <c r="Q22" i="7"/>
  <c r="R15" i="7"/>
  <c r="V15" i="7"/>
  <c r="R19" i="7"/>
  <c r="V19" i="7"/>
  <c r="L14" i="7"/>
  <c r="H52" i="7" s="1"/>
  <c r="L17" i="7"/>
  <c r="H55" i="7" s="1"/>
  <c r="L16" i="7"/>
  <c r="H54" i="7" s="1"/>
  <c r="O32" i="7"/>
  <c r="M11" i="7" s="1"/>
  <c r="L15" i="7"/>
  <c r="H53" i="7" s="1"/>
  <c r="L18" i="7"/>
  <c r="H56" i="7" s="1"/>
  <c r="L13" i="7"/>
  <c r="H51" i="7" s="1"/>
  <c r="L19" i="7"/>
  <c r="H57" i="7" s="1"/>
  <c r="J49" i="16" l="1"/>
  <c r="J47" i="16" s="1"/>
  <c r="J46" i="16" s="1"/>
  <c r="J25" i="16" s="1"/>
  <c r="C33" i="18"/>
  <c r="C35" i="18" s="1"/>
  <c r="U1" i="18" s="1"/>
  <c r="V6" i="18" s="1"/>
  <c r="AH69" i="11"/>
  <c r="AH78" i="11"/>
  <c r="AJ64" i="11"/>
  <c r="AJ55" i="11"/>
  <c r="V5" i="18"/>
  <c r="J52" i="16"/>
  <c r="J55" i="16" s="1"/>
  <c r="J66" i="16" s="1"/>
  <c r="K23" i="16"/>
  <c r="K49" i="16" s="1"/>
  <c r="K47" i="16" s="1"/>
  <c r="K46" i="16" s="1"/>
  <c r="C36" i="18"/>
  <c r="J11" i="18"/>
  <c r="AH77" i="11"/>
  <c r="G66" i="7"/>
  <c r="G67" i="7" s="1"/>
  <c r="H67" i="7" s="1"/>
  <c r="I67" i="7" s="1"/>
  <c r="J67" i="7" s="1"/>
  <c r="K67" i="7" s="1"/>
  <c r="L67" i="7" s="1"/>
  <c r="G61" i="7"/>
  <c r="F67" i="7"/>
  <c r="L43" i="16"/>
  <c r="L40" i="16" s="1"/>
  <c r="L60" i="16" s="1"/>
  <c r="M20" i="16"/>
  <c r="D26" i="7"/>
  <c r="L26" i="7" s="1"/>
  <c r="T26" i="7" s="1"/>
  <c r="X26" i="7" s="1"/>
  <c r="AI78" i="11"/>
  <c r="AI77" i="11"/>
  <c r="AI69" i="11"/>
  <c r="N64" i="16"/>
  <c r="H58" i="7"/>
  <c r="H60" i="7" s="1"/>
  <c r="V21" i="7"/>
  <c r="I12" i="16"/>
  <c r="J48" i="16" s="1"/>
  <c r="Q12" i="16"/>
  <c r="J50" i="16" s="1"/>
  <c r="L22" i="16"/>
  <c r="AJ61" i="11"/>
  <c r="K63" i="16"/>
  <c r="K57" i="16"/>
  <c r="I50" i="7"/>
  <c r="D27" i="7"/>
  <c r="D28" i="7"/>
  <c r="D29" i="7"/>
  <c r="S17" i="7"/>
  <c r="H27" i="7"/>
  <c r="V22" i="7"/>
  <c r="S14" i="7"/>
  <c r="S18" i="7"/>
  <c r="S19" i="7"/>
  <c r="R22" i="7"/>
  <c r="R21" i="7"/>
  <c r="S15" i="7"/>
  <c r="S11" i="7"/>
  <c r="S13" i="7"/>
  <c r="M13" i="7"/>
  <c r="I51" i="7" s="1"/>
  <c r="M14" i="7"/>
  <c r="I52" i="7" s="1"/>
  <c r="M16" i="7"/>
  <c r="I54" i="7" s="1"/>
  <c r="M19" i="7"/>
  <c r="I57" i="7" s="1"/>
  <c r="M17" i="7"/>
  <c r="I55" i="7" s="1"/>
  <c r="M15" i="7"/>
  <c r="I53" i="7" s="1"/>
  <c r="M18" i="7"/>
  <c r="I56" i="7" s="1"/>
  <c r="S16" i="7"/>
  <c r="J15" i="18" l="1"/>
  <c r="AA4" i="18"/>
  <c r="AA5" i="18"/>
  <c r="J20" i="18"/>
  <c r="C40" i="18" s="1"/>
  <c r="J12" i="18"/>
  <c r="AA6" i="18"/>
  <c r="AA7" i="18"/>
  <c r="AA8" i="18"/>
  <c r="AA9" i="18"/>
  <c r="AA10" i="18"/>
  <c r="AA11" i="18"/>
  <c r="AA12" i="18"/>
  <c r="AA13" i="18"/>
  <c r="AA14" i="18"/>
  <c r="AA15" i="18"/>
  <c r="AA16" i="18"/>
  <c r="AA17" i="18"/>
  <c r="AA18" i="18"/>
  <c r="AA19" i="18"/>
  <c r="AA20" i="18"/>
  <c r="AA21" i="18"/>
  <c r="AA22" i="18"/>
  <c r="AA23" i="18"/>
  <c r="AA24" i="18"/>
  <c r="AA25" i="18"/>
  <c r="AA26" i="18"/>
  <c r="AA27" i="18"/>
  <c r="AA28" i="18"/>
  <c r="AA29" i="18"/>
  <c r="AA30" i="18"/>
  <c r="AA31" i="18"/>
  <c r="AA32" i="18"/>
  <c r="AA33" i="18"/>
  <c r="AA34" i="18"/>
  <c r="AA35" i="18"/>
  <c r="AA36" i="18"/>
  <c r="AA37" i="18"/>
  <c r="AA38" i="18"/>
  <c r="AA39" i="18"/>
  <c r="AA40" i="18"/>
  <c r="AA41" i="18"/>
  <c r="AA42" i="18"/>
  <c r="AA43" i="18"/>
  <c r="AA44" i="18"/>
  <c r="AA45" i="18"/>
  <c r="AA46" i="18"/>
  <c r="AA47" i="18"/>
  <c r="AA48" i="18"/>
  <c r="R4" i="18"/>
  <c r="S4" i="18" s="1"/>
  <c r="K11" i="18"/>
  <c r="J26" i="16"/>
  <c r="J7" i="18"/>
  <c r="K52" i="16"/>
  <c r="K55" i="16" s="1"/>
  <c r="K66" i="16" s="1"/>
  <c r="K67" i="16" s="1"/>
  <c r="K25" i="16"/>
  <c r="L23" i="16"/>
  <c r="M23" i="16" s="1"/>
  <c r="AJ67" i="11"/>
  <c r="C25" i="18" s="1"/>
  <c r="C27" i="18" s="1"/>
  <c r="R5" i="18"/>
  <c r="S5" i="18" s="1"/>
  <c r="V4" i="18"/>
  <c r="V7" i="18"/>
  <c r="V8" i="18"/>
  <c r="V9" i="18"/>
  <c r="V10" i="18"/>
  <c r="V11" i="18"/>
  <c r="V12" i="18"/>
  <c r="V13" i="18"/>
  <c r="V14" i="18"/>
  <c r="V15" i="18"/>
  <c r="V16" i="18"/>
  <c r="V17" i="18"/>
  <c r="V18" i="18"/>
  <c r="V19" i="18"/>
  <c r="V20" i="18"/>
  <c r="V21" i="18"/>
  <c r="V22" i="18"/>
  <c r="V23" i="18"/>
  <c r="V24" i="18"/>
  <c r="V25" i="18"/>
  <c r="V26" i="18"/>
  <c r="V27" i="18"/>
  <c r="V28" i="18"/>
  <c r="V29" i="18"/>
  <c r="V30" i="18"/>
  <c r="V31" i="18"/>
  <c r="V32" i="18"/>
  <c r="V33" i="18"/>
  <c r="V34" i="18"/>
  <c r="V35" i="18"/>
  <c r="V36" i="18"/>
  <c r="V37" i="18"/>
  <c r="V38" i="18"/>
  <c r="V39" i="18"/>
  <c r="V40" i="18"/>
  <c r="V41" i="18"/>
  <c r="V42" i="18"/>
  <c r="V43" i="18"/>
  <c r="V44" i="18"/>
  <c r="V45" i="18"/>
  <c r="V46" i="18"/>
  <c r="V47" i="18"/>
  <c r="V48" i="18"/>
  <c r="J67" i="16"/>
  <c r="C20" i="18"/>
  <c r="C21" i="18" s="1"/>
  <c r="L27" i="7"/>
  <c r="T27" i="7" s="1"/>
  <c r="X27" i="7" s="1"/>
  <c r="H66" i="7"/>
  <c r="I66" i="7" s="1"/>
  <c r="J66" i="7" s="1"/>
  <c r="K66" i="7" s="1"/>
  <c r="L66" i="7" s="1"/>
  <c r="L57" i="16"/>
  <c r="L63" i="16"/>
  <c r="I58" i="7"/>
  <c r="I60" i="7" s="1"/>
  <c r="M19" i="16"/>
  <c r="N20" i="16"/>
  <c r="M43" i="16"/>
  <c r="M40" i="16" s="1"/>
  <c r="T15" i="7"/>
  <c r="H28" i="7"/>
  <c r="T19" i="7"/>
  <c r="T18" i="7"/>
  <c r="T17" i="7"/>
  <c r="T14" i="7"/>
  <c r="T13" i="7"/>
  <c r="I26" i="7"/>
  <c r="T11" i="7"/>
  <c r="T16" i="7"/>
  <c r="S22" i="7"/>
  <c r="S21" i="7"/>
  <c r="AJ69" i="11" l="1"/>
  <c r="L49" i="16"/>
  <c r="L47" i="16" s="1"/>
  <c r="L46" i="16" s="1"/>
  <c r="L52" i="16" s="1"/>
  <c r="L55" i="16" s="1"/>
  <c r="L66" i="16" s="1"/>
  <c r="L67" i="16" s="1"/>
  <c r="AJ78" i="11"/>
  <c r="L11" i="18" s="1"/>
  <c r="L15" i="18" s="1"/>
  <c r="AJ77" i="11"/>
  <c r="AD4" i="18"/>
  <c r="K12" i="18"/>
  <c r="K20" i="18"/>
  <c r="AD5" i="18"/>
  <c r="K15" i="18"/>
  <c r="AD6" i="18"/>
  <c r="AD7" i="18"/>
  <c r="AD8" i="18"/>
  <c r="AD9" i="18"/>
  <c r="AD10" i="18"/>
  <c r="AD11" i="18"/>
  <c r="AD12" i="18"/>
  <c r="AD13" i="18"/>
  <c r="AD14" i="18"/>
  <c r="AD15" i="18"/>
  <c r="AD16" i="18"/>
  <c r="AD17" i="18"/>
  <c r="AD18" i="18"/>
  <c r="AD19" i="18"/>
  <c r="AD20" i="18"/>
  <c r="AD21" i="18"/>
  <c r="AD22" i="18"/>
  <c r="AD23" i="18"/>
  <c r="AD24" i="18"/>
  <c r="AD25" i="18"/>
  <c r="AD26" i="18"/>
  <c r="AD27" i="18"/>
  <c r="AD28" i="18"/>
  <c r="AD29" i="18"/>
  <c r="AD30" i="18"/>
  <c r="AD31" i="18"/>
  <c r="AD32" i="18"/>
  <c r="AD33" i="18"/>
  <c r="AD34" i="18"/>
  <c r="AD35" i="18"/>
  <c r="AD36" i="18"/>
  <c r="AD37" i="18"/>
  <c r="AD38" i="18"/>
  <c r="AD39" i="18"/>
  <c r="AD40" i="18"/>
  <c r="AD41" i="18"/>
  <c r="AD42" i="18"/>
  <c r="AD43" i="18"/>
  <c r="AD44" i="18"/>
  <c r="AD45" i="18"/>
  <c r="AD46" i="18"/>
  <c r="AD47" i="18"/>
  <c r="AD48" i="18"/>
  <c r="C22" i="18"/>
  <c r="AG2" i="18"/>
  <c r="AG7" i="18" s="1"/>
  <c r="J9" i="18"/>
  <c r="J19" i="18"/>
  <c r="J8" i="18"/>
  <c r="K26" i="16"/>
  <c r="K7" i="18"/>
  <c r="C30" i="18"/>
  <c r="C29" i="18"/>
  <c r="C28" i="18"/>
  <c r="C39" i="18"/>
  <c r="C41" i="18" s="1"/>
  <c r="V1" i="18" s="1"/>
  <c r="R6" i="18"/>
  <c r="S6" i="18" s="1"/>
  <c r="M57" i="16"/>
  <c r="M60" i="16"/>
  <c r="M63" i="16"/>
  <c r="N19" i="16"/>
  <c r="M22" i="16"/>
  <c r="M49" i="16"/>
  <c r="M47" i="16" s="1"/>
  <c r="M46" i="16" s="1"/>
  <c r="N23" i="16"/>
  <c r="M11" i="16"/>
  <c r="N43" i="16"/>
  <c r="N41" i="16" s="1"/>
  <c r="N40" i="16" s="1"/>
  <c r="E26" i="7"/>
  <c r="M26" i="7" s="1"/>
  <c r="U26" i="7" s="1"/>
  <c r="Y26" i="7" s="1"/>
  <c r="E28" i="7"/>
  <c r="E27" i="7"/>
  <c r="E29" i="7"/>
  <c r="L28" i="7"/>
  <c r="T28" i="7" s="1"/>
  <c r="X28" i="7" s="1"/>
  <c r="H29" i="7"/>
  <c r="L29" i="7" s="1"/>
  <c r="T29" i="7" s="1"/>
  <c r="X29" i="7" s="1"/>
  <c r="T21" i="7"/>
  <c r="T22" i="7"/>
  <c r="I27" i="7"/>
  <c r="L12" i="18" l="1"/>
  <c r="L20" i="18"/>
  <c r="L25" i="16"/>
  <c r="L26" i="16" s="1"/>
  <c r="AG6" i="18"/>
  <c r="K9" i="18"/>
  <c r="K19" i="18"/>
  <c r="K8" i="18"/>
  <c r="M52" i="16"/>
  <c r="M55" i="16" s="1"/>
  <c r="M66" i="16" s="1"/>
  <c r="M67" i="16" s="1"/>
  <c r="M25" i="16"/>
  <c r="C42" i="18"/>
  <c r="AG4" i="18"/>
  <c r="AG5" i="18"/>
  <c r="AG8" i="18"/>
  <c r="AG9" i="18"/>
  <c r="AG10" i="18"/>
  <c r="AG11" i="18"/>
  <c r="AG12" i="18"/>
  <c r="AG13" i="18"/>
  <c r="AG14" i="18"/>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N57" i="16"/>
  <c r="N60" i="16"/>
  <c r="N63" i="16"/>
  <c r="N22" i="16"/>
  <c r="N49" i="16"/>
  <c r="N47" i="16" s="1"/>
  <c r="N46" i="16" s="1"/>
  <c r="M13" i="16"/>
  <c r="M27" i="7"/>
  <c r="U27" i="7" s="1"/>
  <c r="Y27" i="7" s="1"/>
  <c r="I28" i="7"/>
  <c r="L7" i="18" l="1"/>
  <c r="L9" i="18" s="1"/>
  <c r="M26" i="16"/>
  <c r="N52" i="16"/>
  <c r="N55" i="16" s="1"/>
  <c r="N66" i="16" s="1"/>
  <c r="N72" i="16" s="1"/>
  <c r="N73" i="16" s="1"/>
  <c r="N25" i="16"/>
  <c r="N26" i="16" s="1"/>
  <c r="W6" i="18"/>
  <c r="X6" i="18" s="1"/>
  <c r="W4" i="18"/>
  <c r="X4" i="18" s="1"/>
  <c r="W5" i="18"/>
  <c r="X5" i="18" s="1"/>
  <c r="W7" i="18"/>
  <c r="X7" i="18" s="1"/>
  <c r="W8" i="18"/>
  <c r="X8" i="18" s="1"/>
  <c r="W9" i="18"/>
  <c r="X9" i="18" s="1"/>
  <c r="W10" i="18"/>
  <c r="X10" i="18" s="1"/>
  <c r="W11" i="18"/>
  <c r="X11" i="18" s="1"/>
  <c r="W12" i="18"/>
  <c r="X12" i="18" s="1"/>
  <c r="W13" i="18"/>
  <c r="X13" i="18" s="1"/>
  <c r="W14" i="18"/>
  <c r="X14" i="18" s="1"/>
  <c r="W15" i="18"/>
  <c r="X15" i="18" s="1"/>
  <c r="W16" i="18"/>
  <c r="X16" i="18" s="1"/>
  <c r="W17" i="18"/>
  <c r="X17" i="18" s="1"/>
  <c r="W18" i="18"/>
  <c r="X18" i="18" s="1"/>
  <c r="W19" i="18"/>
  <c r="X19" i="18" s="1"/>
  <c r="W20" i="18"/>
  <c r="X20" i="18" s="1"/>
  <c r="W21" i="18"/>
  <c r="X21" i="18" s="1"/>
  <c r="W22" i="18"/>
  <c r="X22" i="18" s="1"/>
  <c r="W23" i="18"/>
  <c r="X23" i="18" s="1"/>
  <c r="W24" i="18"/>
  <c r="X24" i="18" s="1"/>
  <c r="W25" i="18"/>
  <c r="X25" i="18" s="1"/>
  <c r="W26" i="18"/>
  <c r="X26" i="18" s="1"/>
  <c r="W27" i="18"/>
  <c r="X27" i="18" s="1"/>
  <c r="W28" i="18"/>
  <c r="X28" i="18" s="1"/>
  <c r="W29" i="18"/>
  <c r="X29" i="18" s="1"/>
  <c r="W30" i="18"/>
  <c r="X30" i="18" s="1"/>
  <c r="W31" i="18"/>
  <c r="X31" i="18" s="1"/>
  <c r="W32" i="18"/>
  <c r="X32" i="18" s="1"/>
  <c r="W33" i="18"/>
  <c r="X33" i="18" s="1"/>
  <c r="W34" i="18"/>
  <c r="X34" i="18" s="1"/>
  <c r="W35" i="18"/>
  <c r="X35" i="18" s="1"/>
  <c r="W36" i="18"/>
  <c r="X36" i="18" s="1"/>
  <c r="W37" i="18"/>
  <c r="X37" i="18" s="1"/>
  <c r="W38" i="18"/>
  <c r="X38" i="18" s="1"/>
  <c r="W39" i="18"/>
  <c r="X39" i="18" s="1"/>
  <c r="W40" i="18"/>
  <c r="X40" i="18" s="1"/>
  <c r="W41" i="18"/>
  <c r="X41" i="18" s="1"/>
  <c r="W42" i="18"/>
  <c r="X42" i="18" s="1"/>
  <c r="W43" i="18"/>
  <c r="X43" i="18" s="1"/>
  <c r="W44" i="18"/>
  <c r="X44" i="18" s="1"/>
  <c r="W45" i="18"/>
  <c r="X45" i="18" s="1"/>
  <c r="W46" i="18"/>
  <c r="X46" i="18" s="1"/>
  <c r="W47" i="18"/>
  <c r="X47" i="18" s="1"/>
  <c r="W48" i="18"/>
  <c r="X48" i="18" s="1"/>
  <c r="I13" i="16"/>
  <c r="N48" i="16" s="1"/>
  <c r="K48" i="16" s="1"/>
  <c r="L48" i="16" s="1"/>
  <c r="M48" i="16" s="1"/>
  <c r="Q13" i="16"/>
  <c r="N50" i="16" s="1"/>
  <c r="K50" i="16" s="1"/>
  <c r="L50" i="16" s="1"/>
  <c r="M50" i="16" s="1"/>
  <c r="M28" i="7"/>
  <c r="U28" i="7" s="1"/>
  <c r="Y28" i="7" s="1"/>
  <c r="I29" i="7"/>
  <c r="M29" i="7" s="1"/>
  <c r="U29" i="7" s="1"/>
  <c r="Y29" i="7" s="1"/>
  <c r="L8" i="18" l="1"/>
  <c r="L19" i="18"/>
  <c r="N67" i="16"/>
  <c r="N74" i="16" s="1"/>
  <c r="N77" i="16" s="1"/>
  <c r="N80" i="16" s="1"/>
  <c r="I4" i="16" l="1"/>
  <c r="U8" i="16" s="1"/>
  <c r="S11" i="18"/>
  <c r="S12" i="18" s="1"/>
  <c r="I6" i="16" l="1"/>
  <c r="B7"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1" authorId="0" shapeId="0" xr:uid="{982ADD1E-05C6-42FE-B894-8F659F3C4EA6}">
      <text>
        <r>
          <rPr>
            <b/>
            <sz val="9"/>
            <color indexed="81"/>
            <rFont val="Tahoma"/>
            <family val="2"/>
          </rPr>
          <t>&lt;?xml version="1.0" encoding="utf-8"?&gt;&lt;Schema xmlns:xsi="http://www.w3.org/2001/XMLSchema-instance" xmlns:xsd="http://www.w3.org/2001/XMLSchema" Version="2" Timestamp="1723939742"&gt;&lt;FQL&gt;&lt;Q&gt;DRI-US^FE_VALUATION(PE,MEAN,ANN,+2,NOW,,,'')&lt;/Q&gt;&lt;R&gt;1&lt;/R&gt;&lt;C&gt;1&lt;/C&gt;&lt;D xsi:type="xsd:double"&gt;13.679797&lt;/D&gt;&lt;/FQL&gt;&lt;FQL&gt;&lt;Q&gt;DRI-US^FE_VALUATION(PE,MEAN,ANN,+1,NOW,,,'')&lt;/Q&gt;&lt;R&gt;1&lt;/R&gt;&lt;C&gt;1&lt;/C&gt;&lt;D xsi:type="xsd:double"&gt;15.1076&lt;/D&gt;&lt;/FQL&gt;&lt;FQL&gt;&lt;Q&gt;DRI-US^FE_VALUATION(FFEV_EBITDA,MEAN,ANN,+2,NOW,,,'')&lt;/Q&gt;&lt;R&gt;1&lt;/R&gt;&lt;C&gt;1&lt;/C&gt;&lt;D xsi:type="xsd:double"&gt;11.560074&lt;/D&gt;&lt;/FQL&gt;&lt;FQL&gt;&lt;Q&gt;DRI-US^FE_VALUATION(FFEV_EBITDA,MEAN,ANN,+1,NOW,,,'')&lt;/Q&gt;&lt;R&gt;1&lt;/R&gt;&lt;C&gt;1&lt;/C&gt;&lt;D xsi:type="xsd:double"&gt;12.355792&lt;/D&gt;&lt;/FQL&gt;&lt;FQL&gt;&lt;Q&gt;DRI-US^FE_VALUATION(FFEV_SALES,MEAN,ANN,+2,NOW,,,'')&lt;/Q&gt;&lt;R&gt;1&lt;/R&gt;&lt;C&gt;1&lt;/C&gt;&lt;D xsi:type="xsd:double"&gt;1.9006957&lt;/D&gt;&lt;/FQL&gt;&lt;FQL&gt;&lt;Q&gt;DRI-US^FE_VALUATION(FFEV_SALES,MEAN,ANN,+1,NOW,,,'')&lt;/Q&gt;&lt;R&gt;1&lt;/R&gt;&lt;C&gt;1&lt;/C&gt;&lt;D xsi:type="xsd:double"&gt;2.0124938&lt;/D&gt;&lt;/FQL&gt;&lt;FQL&gt;&lt;Q&gt;DPZ-US^FE_VALUATION(PE,MEAN,ANN,+2,NOW,,,'')&lt;/Q&gt;&lt;R&gt;1&lt;/R&gt;&lt;C&gt;1&lt;/C&gt;&lt;D xsi:type="xsd:double"&gt;24.88773&lt;/D&gt;&lt;/FQL&gt;&lt;FQL&gt;&lt;Q&gt;DPZ-US^FE_VALUATION(PE,MEAN,ANN,+1,NOW,,,'')&lt;/Q&gt;&lt;R&gt;1&lt;/R&gt;&lt;C&gt;1&lt;/C&gt;&lt;D xsi:type="xsd:double"&gt;27.399082&lt;/D&gt;&lt;/FQL&gt;&lt;FQL&gt;&lt;Q&gt;DPZ-US^FE_VALUATION(FFEV_EBITDA,MEAN,ANN,+2,NOW,,,'')&lt;/Q&gt;&lt;R&gt;1&lt;/R&gt;&lt;C&gt;1&lt;/C&gt;&lt;D xsi:type="xsd:double"&gt;19.14693&lt;/D&gt;&lt;/FQL&gt;&lt;FQL&gt;&lt;Q&gt;DPZ-US^FE_VALUATION(FFEV_EBITDA,MEAN,ANN,+1,NOW,,,'')&lt;/Q&gt;&lt;R&gt;1&lt;/R&gt;&lt;C&gt;1&lt;/C&gt;&lt;D xsi:type="xsd:double"&gt;20.680777&lt;/D&gt;&lt;/FQL&gt;&lt;FQL&gt;&lt;Q&gt;DPZ-US^FE_VALUATION(FFEV_SALES,MEAN,ANN,+2,NOW,,,'')&lt;/Q&gt;&lt;R&gt;1&lt;/R&gt;&lt;C&gt;1&lt;/C&gt;&lt;D xsi:type="xsd:double"&gt;3.9455338&lt;/D&gt;&lt;/FQL&gt;&lt;FQL&gt;&lt;Q&gt;DPZ-US^FE_VALUATION(FFEV_SALES,MEAN,ANN,+1,NOW,,,'')&lt;/Q&gt;&lt;R&gt;1&lt;/R&gt;&lt;C&gt;1&lt;/C&gt;&lt;D xsi:type="xsd:double"&gt;4.2132473&lt;/D&gt;&lt;/FQL&gt;&lt;FQL&gt;&lt;Q&gt;QSR-US^FE_VALUATION(PE,MEAN,ANN,+2,NOW,,,'')&lt;/Q&gt;&lt;R&gt;1&lt;/R&gt;&lt;C&gt;1&lt;/C&gt;&lt;D xsi:type="xsd:double"&gt;18.264132&lt;/D&gt;&lt;/FQL&gt;&lt;FQL&gt;&lt;Q&gt;QSR-US^FE_VALUATION(PE,MEAN,ANN,+1,NOW,,,'')&lt;/Q&gt;&lt;R&gt;1&lt;/R&gt;&lt;C&gt;1&lt;/C&gt;&lt;D xsi:type="xsd:double"&gt;20.789036&lt;/D&gt;&lt;/FQL&gt;&lt;FQL&gt;&lt;Q&gt;QSR-US^FE_VALUATION(FFEV_EBITDA,MEAN,ANN,+2,NOW,,,'')&lt;/Q&gt;&lt;R&gt;1&lt;/R&gt;&lt;C&gt;1&lt;/C&gt;&lt;D xsi:type="xsd:double"&gt;16.068605&lt;/D&gt;&lt;/FQL&gt;&lt;FQL&gt;&lt;Q&gt;QSR-US^FE_VALUATION(FFEV_EBITDA,MEAN,ANN,+1,NOW,,,'')&lt;/Q&gt;&lt;R&gt;1&lt;/R&gt;&lt;C&gt;1&lt;/C&gt;&lt;D xsi:type="xsd:double"&gt;17.672846&lt;/D&gt;&lt;/FQL&gt;&lt;FQL&gt;&lt;Q&gt;QSR-US^FE_VALUATION(FFEV_SALES,MEAN,ANN,+2,NOW,,,'')&lt;/Q&gt;&lt;R&gt;1&lt;/R&gt;&lt;C&gt;1&lt;/C&gt;&lt;D xsi:type="xsd:double"&gt;5.168192&lt;/D&gt;&lt;/FQL&gt;&lt;FQL&gt;&lt;Q&gt;QSR-US^FE_VALUATION(FFEV_SALES,MEAN,ANN,+1,NOW,,,'')&lt;/Q&gt;&lt;R&gt;1&lt;/R&gt;&lt;C&gt;1&lt;/C&gt;&lt;D xsi:type="xsd:double"&gt;5.7760167&lt;/D&gt;&lt;/FQL&gt;&lt;FQL&gt;&lt;Q&gt;MCD-US^FE_VALUATION(PE,MEAN,ANN,+2,NOW,,,'')&lt;/Q&gt;&lt;R&gt;1&lt;/R&gt;&lt;C&gt;1&lt;/C&gt;&lt;D xsi:type="xsd:double"&gt;21.85813&lt;/D&gt;&lt;/FQL&gt;&lt;FQL&gt;&lt;Q&gt;MCD-US^FE_VALUATION(PE,MEAN,ANN,+1,NOW,,,'')&lt;/Q&gt;&lt;R&gt;1&lt;/R&gt;&lt;C&gt;1&lt;/C&gt;&lt;D xsi:type="xsd:double"&gt;23.64005&lt;/D&gt;&lt;/FQL&gt;&lt;FQL&gt;&lt;Q&gt;MCD-US^FE_VALUATION(FFEV_EBITDA,MEAN,ANN,+2,NOW,,,'')&lt;/Q&gt;&lt;R&gt;1&lt;/R&gt;&lt;C&gt;1&lt;/C&gt;&lt;D xsi:type="xsd:double"&gt;17.041227&lt;/D&gt;&lt;/FQL&gt;&lt;FQL&gt;&lt;Q&gt;MCD-US^FE_VALUATION(FFEV_EBITDA,MEAN,ANN,+1,NOW,,,'')&lt;/Q&gt;&lt;R&gt;1&lt;/R&gt;&lt;C&gt;1&lt;/C&gt;&lt;D xsi:type="xsd:double"&gt;18.003386&lt;/D&gt;&lt;/FQL&gt;&lt;FQL&gt;&lt;Q&gt;MCD-US^FE_VALUATION(FFEV_SALES,MEAN,ANN,+2,NOW,,,'')&lt;/Q&gt;&lt;R&gt;1&lt;/R&gt;&lt;C&gt;1&lt;/C&gt;&lt;D xsi:type="xsd:double"&gt;9.263808&lt;/D&gt;&lt;/FQL&gt;&lt;FQL&gt;&lt;Q&gt;MCD-US^FE_VALUATION(FFEV_SALES,MEAN,ANN,+1,NOW,,,'')&lt;/Q&gt;&lt;R&gt;1&lt;/R&gt;&lt;C&gt;1&lt;/C&gt;&lt;D xsi:type="xsd:double"&gt;9.721059&lt;/D&gt;&lt;/FQL&gt;&lt;FQL&gt;&lt;Q&gt;YUM-US^FE_VALUATION(PE,MEAN,ANN,+2,NOW,,,'')&lt;/Q&gt;&lt;R&gt;1&lt;/R&gt;&lt;C&gt;1&lt;/C&gt;&lt;D xsi:type="xsd:double"&gt;21.80532&lt;/D&gt;&lt;/FQL&gt;&lt;FQL&gt;&lt;Q&gt;YUM-US^FE_VALUATION(PE,MEAN,ANN,+1,NOW,,,'')&lt;/Q&gt;&lt;R&gt;1&lt;/R&gt;&lt;C&gt;1&lt;/C&gt;&lt;D xsi:type="xsd:double"&gt;24.350468&lt;/D&gt;&lt;/FQL&gt;&lt;FQL&gt;&lt;Q&gt;YUM-US^FE_VALUATION(FFEV_EBITDA,MEAN,ANN,+2,NOW,,,'')&lt;/Q&gt;&lt;R&gt;1&lt;/R&gt;&lt;C&gt;1&lt;/C&gt;&lt;D xsi:type="xsd:double"&gt;17.328362&lt;/D&gt;&lt;/FQL&gt;&lt;FQL&gt;&lt;Q&gt;YUM-US^FE_VALUATION(FFEV_EBITDA,MEAN,ANN,+1,NOW,,,'')&lt;/Q&gt;&lt;R&gt;1&lt;/R&gt;&lt;C&gt;1&lt;/C&gt;&lt;D xsi:type="xsd:double"&gt;18.602783&lt;/D&gt;&lt;/FQL&gt;&lt;FQL&gt;&lt;Q&gt;YUM-US^FE_VALUATION(FFEV_SALES,MEAN,ANN,+2,NOW,,,'')&lt;/Q&gt;&lt;R&gt;1&lt;/R&gt;&lt;C&gt;1&lt;/C&gt;&lt;D xsi:type="xsd:double"&gt;6.1840897&lt;/D&gt;&lt;/FQL&gt;&lt;FQL&gt;&lt;Q&gt;YUM-US^FE_VALUATION(FFEV_SALES,MEAN,ANN,+1,NOW,,,'')&lt;/Q&gt;&lt;R&gt;1&lt;/R&gt;&lt;C&gt;1&lt;/C&gt;&lt;D xsi:type="xsd:double"&gt;6.6259627&lt;/D&gt;&lt;/FQL&gt;&lt;FQL&gt;&lt;Q&gt;WEN-US^FE_VALUATION(PE,MEAN,ANN,+2,NOW,,,'')&lt;/Q&gt;&lt;R&gt;1&lt;/R&gt;&lt;C&gt;1&lt;/C&gt;&lt;D xsi:type="xsd:double"&gt;15.858171&lt;/D&gt;&lt;/FQL&gt;&lt;FQL&gt;&lt;Q&gt;WEN-US^FE_VALUATION(PE,MEAN,ANN,+1,NOW,,,'')&lt;/Q&gt;&lt;R&gt;1&lt;/R&gt;&lt;C&gt;1&lt;/C&gt;&lt;D xsi:type="xsd:double"&gt;17.13813&lt;/D&gt;&lt;/FQL&gt;&lt;FQL&gt;&lt;Q&gt;WEN-US^FE_VALUATION(FFEV_EBITDA,MEAN,ANN,+2,NOW,,,'')&lt;/Q&gt;&lt;R&gt;1&lt;/R&gt;&lt;C&gt;1&lt;/C&gt;&lt;D xsi:type="xsd:double"&gt;12.665335&lt;/D&gt;&lt;/FQL&gt;&lt;FQL&gt;&lt;Q&gt;WEN-US^FE_VALUATION(FFEV_EBITDA,MEAN,ANN,+1,NOW,,,'')&lt;/Q&gt;&lt;R&gt;1&lt;/R&gt;&lt;C&gt;1&lt;/C&gt;&lt;D xsi:type="xsd:double"&gt;13.217694&lt;/D&gt;&lt;/FQL&gt;&lt;FQL&gt;&lt;Q&gt;WEN-US^FE_VALUATION(FFEV_SALES,MEAN,ANN,+2,NOW,,,'')&lt;/Q&gt;&lt;R&gt;1&lt;/R&gt;&lt;C&gt;1&lt;/C&gt;&lt;D xsi:type="xsd:double"&gt;3.0748017&lt;/D&gt;&lt;/FQL&gt;&lt;FQL&gt;&lt;Q&gt;WEN-US^FE_VALUATION(FFEV_SALES,MEAN,ANN,+1,NOW,,,'')&lt;/Q&gt;&lt;R&gt;1&lt;/R&gt;&lt;C&gt;1&lt;/C&gt;&lt;D xsi:type="xsd:double"&gt;3.1908774&lt;/D&gt;&lt;/FQL&gt;&lt;FQL&gt;&lt;Q&gt;SBUX-US^FE_VALUATION(PE,MEAN,ANN,+2,NOW,,,'')&lt;/Q&gt;&lt;R&gt;1&lt;/R&gt;&lt;C&gt;1&lt;/C&gt;&lt;D xsi:type="xsd:double"&gt;23.879494&lt;/D&gt;&lt;/FQL&gt;&lt;FQL&gt;&lt;Q&gt;SBUX-US^FE_VALUATION(PE,MEAN,ANN,+1,NOW,,,'')&lt;/Q&gt;&lt;R&gt;1&lt;/R&gt;&lt;C&gt;1&lt;/C&gt;&lt;D xsi:type="xsd:double"&gt;26.620718&lt;/D&gt;&lt;/FQL&gt;&lt;FQL&gt;&lt;Q&gt;SBUX-US^FE_VALUATION(FFEV_EBITDA,MEAN,ANN,+2,NOW,,,'')&lt;/Q&gt;&lt;R&gt;1&lt;/R&gt;&lt;C&gt;1&lt;/C&gt;&lt;D xsi:type="xsd:double"&gt;16.250078&lt;/D&gt;&lt;/FQL&gt;&lt;FQL&gt;&lt;Q&gt;SBUX-US^FE_VALUATION(FFEV_EBITDA,MEAN,ANN,+1,NOW,,,'')&lt;/Q&gt;&lt;R&gt;1&lt;/R&gt;&lt;C&gt;1&lt;/C&gt;&lt;D xsi:type="xsd:double"&gt;17.817831&lt;/D&gt;&lt;/FQL&gt;&lt;FQL&gt;&lt;Q&gt;SBUX-US^FE_VALUATION(FFEV_SALES,MEAN,ANN,+2,NOW,,,'')&lt;/Q&gt;&lt;R&gt;1&lt;/R&gt;&lt;C&gt;1&lt;/C&gt;&lt;D xsi:type="xsd:double"&gt;3.3331656&lt;/D&gt;&lt;/FQL&gt;&lt;FQL&gt;&lt;Q&gt;SBUX-US^FE_VALUATION(FFEV_SALES,MEAN,ANN,+1,NOW,,,'')&lt;/Q&gt;&lt;R&gt;1&lt;/R&gt;&lt;C&gt;1&lt;/C&gt;&lt;D xsi:type="xsd:double"&gt;3.5609019&lt;/D&gt;&lt;/FQL&gt;&lt;FQL&gt;&lt;Q&gt;CMG-US^FE_VALUATION(PE,MEAN,ANN,+2,NOW,,,'')&lt;/Q&gt;&lt;R&gt;1&lt;/R&gt;&lt;C&gt;1&lt;/C&gt;&lt;D xsi:type="xsd:double"&gt;40.527287&lt;/D&gt;&lt;/FQL&gt;&lt;FQL&gt;&lt;Q&gt;CMG-US^FE_VALUATION(PE,MEAN,ANN,+1,NOW,,,'')&lt;/Q&gt;&lt;R&gt;1&lt;/R&gt;&lt;C&gt;1&lt;/C&gt;&lt;D xsi:type="xsd:double"&gt;48.135593&lt;/D&gt;&lt;/FQL&gt;&lt;FQL&gt;&lt;Q&gt;CMG-US^FE_VALUATION(FFEV_EBITDA,MEAN,ANN,+2,NOW,,,'')&lt;/Q&gt;&lt;R&gt;1&lt;/R&gt;&lt;C&gt;1&lt;/C&gt;&lt;D xsi:type="xsd:double"&gt;28.461329&lt;/D&gt;&lt;/FQL&gt;&lt;FQL&gt;&lt;Q&gt;CMG-US^FE_VALUATION(FFEV_EBITDA,MEAN,ANN,+1,NOW,,,'')&lt;/Q&gt;&lt;R&gt;1&lt;/R&gt;&lt;C&gt;1&lt;/C&gt;&lt;D xsi:type="xsd:double"&gt;33.677193&lt;/D&gt;&lt;/FQL&gt;&lt;FQL&gt;&lt;Q&gt;CMG-US^FE_VALUATION(FFEV_SALES,MEAN,ANN,+2,NOW,,,'')&lt;/Q&gt;&lt;R&gt;1&lt;/R&gt;&lt;C&gt;1&lt;/C&gt;&lt;D xsi:type="xsd:double"&gt;5.849148&lt;/D&gt;&lt;/FQL&gt;&lt;FQL&gt;&lt;Q&gt;CMG-US^FE_VALUATION(FFEV_SALES,MEAN,ANN,+1,NOW,,,'')&lt;/Q&gt;&lt;R&gt;1&lt;/R&gt;&lt;C&gt;1&lt;/C&gt;&lt;D xsi:type="xsd:double"&gt;6.6399584&lt;/D&gt;&lt;/FQL&gt;&lt;FQL&gt;&lt;Q&gt;DRI-US^FF_EBITDA_OPER(ANN_R,-1AY,,,,USD)&lt;/Q&gt;&lt;R&gt;1&lt;/R&gt;&lt;C&gt;1&lt;/C&gt;&lt;D xsi:type="xsd:double"&gt;1564.6&lt;/D&gt;&lt;/FQL&gt;&lt;FQL&gt;&lt;Q&gt;MCD-US^FF_SALES(ANN_R,-2AY,,,,USD)&lt;/Q&gt;&lt;R&gt;1&lt;/R&gt;&lt;C&gt;1&lt;/C&gt;&lt;D xsi:type="xsd:double"&gt;23222.9&lt;/D&gt;&lt;/FQL&gt;&lt;FQL&gt;&lt;Q&gt;SBUX-US^FF_EBITDA_OPER(ANN_R,-1AY,,,,USD)&lt;/Q&gt;&lt;R&gt;1&lt;/R&gt;&lt;C&gt;1&lt;/C&gt;&lt;D xsi:type="xsd:double"&gt;7304.4&lt;/D&gt;&lt;/FQL&gt;&lt;FQL&gt;&lt;Q&gt;SBUX-US^FF_DEBT(QTR_R,0)&lt;/Q&gt;&lt;R&gt;1&lt;/R&gt;&lt;C&gt;1&lt;/C&gt;&lt;D xsi:type="xsd:double"&gt;25291.8&lt;/D&gt;&lt;/FQL&gt;&lt;FQL&gt;&lt;Q&gt;SBUX-US^FG_COMPANY_NAME&lt;/Q&gt;&lt;R&gt;1&lt;/R&gt;&lt;C&gt;1&lt;/C&gt;&lt;D xsi:type="xsd:string"&gt;Starbucks Corporation&lt;/D&gt;&lt;/FQL&gt;&lt;FQL&gt;&lt;Q&gt;WEN-US^FG_PRICE(0,,,USD)&lt;/Q&gt;&lt;R&gt;1&lt;/R&gt;&lt;C&gt;1&lt;/C&gt;&lt;D xsi:type="xsd:double"&gt;16.93&lt;/D&gt;&lt;/FQL&gt;&lt;FQL&gt;&lt;Q&gt;CMG-US^FF_DEBT(QTR_R,0)&lt;/Q&gt;&lt;R&gt;1&lt;/R&gt;&lt;C&gt;1&lt;/C&gt;&lt;D xsi:type="xsd:double"&gt;4278.758&lt;/D&gt;&lt;/FQL&gt;&lt;FQL&gt;&lt;Q&gt;DRI-US^FF_SALES(ANN_R,0Y,,,,USD)&lt;/Q&gt;&lt;R&gt;1&lt;/R&gt;&lt;C&gt;1&lt;/C&gt;&lt;D xsi:type="xsd:double"&gt;11390&lt;/D&gt;&lt;/FQL&gt;&lt;FQL&gt;&lt;Q&gt;DPZ-US^FF_EBITDA_OPER(ANN_R,-1AY,,,,USD)&lt;/Q&gt;&lt;R&gt;1&lt;/R&gt;&lt;C&gt;1&lt;/C&gt;&lt;D xsi:type="xsd:double"&gt;828.816&lt;/D&gt;&lt;/FQL&gt;&lt;FQL&gt;&lt;Q&gt;QSR-US^FF_EBITDA_OPER(ANN_R,0Y,,,,USD)&lt;/Q&gt;&lt;R&gt;1&lt;/R&gt;&lt;C&gt;1&lt;/C&gt;&lt;D xsi:type="xsd:double"&gt;2339&lt;/D&gt;&lt;/FQL&gt;&lt;FQL&gt;&lt;Q&gt;MCD-US^FF_NET_INC(ANN_R,-1AY,,,,USD)&lt;/Q&gt;&lt;R&gt;1&lt;/R&gt;&lt;C&gt;1&lt;/C&gt;&lt;D xsi:type="xsd:double"&gt;6177.4&lt;/D&gt;&lt;/FQL&gt;&lt;FQL&gt;&lt;Q&gt;YUM-US^FF_NET_INC(ANN_R,0Y,,,,USD)&lt;/Q&gt;&lt;R&gt;1&lt;/R&gt;&lt;C&gt;1&lt;/C&gt;&lt;D xsi:type="xsd:double"&gt;1597&lt;/D&gt;&lt;/FQL&gt;&lt;FQL&gt;&lt;Q&gt;YUM-US^FF_SALES(ANN_R,-2AY,,,,USD)&lt;/Q&gt;&lt;R&gt;1&lt;/R&gt;&lt;C&gt;1&lt;/C&gt;&lt;D xsi:type="xsd:double"&gt;6584&lt;/D&gt;&lt;/FQL&gt;&lt;FQL&gt;&lt;Q&gt;WEN-US^FF_SALES(ANN_R,-1AY,,,,USD)&lt;/Q&gt;&lt;R&gt;1&lt;/R&gt;&lt;C&gt;1&lt;/C&gt;&lt;D xsi:type="xsd:double"&gt;2095.505&lt;/D&gt;&lt;/FQL&gt;&lt;FQL&gt;&lt;Q&gt;SBUX-US^FF_SALES(ANN_R,0Y,,,,USD)&lt;/Q&gt;&lt;R&gt;1&lt;/R&gt;&lt;C&gt;1&lt;/C&gt;&lt;D xsi:type="xsd:double"&gt;35952&lt;/D&gt;&lt;/FQL&gt;&lt;FQL&gt;&lt;Q&gt;CMG-US^FF_EBITDA_OPER(ANN_R,-1AY,,,,USD)&lt;/Q&gt;&lt;R&gt;1&lt;/R&gt;&lt;C&gt;1&lt;/C&gt;&lt;D xsi:type="xsd:double"&gt;1509.475&lt;/D&gt;&lt;/FQL&gt;&lt;FQL&gt;&lt;Q&gt;DRI-US^FF_CASH_ST(QTR_R,0)&lt;/Q&gt;&lt;R&gt;1&lt;/R&gt;&lt;C&gt;1&lt;/C&gt;&lt;D xsi:type="xsd:double"&gt;220.1&lt;/D&gt;&lt;/FQL&gt;&lt;FQL&gt;&lt;Q&gt;SBUX-US^FF_CASH_ST(QTR_R,0)&lt;/Q&gt;&lt;R&gt;1&lt;/R&gt;&lt;C&gt;1&lt;/C&gt;&lt;D xsi:type="xsd:double"&gt;3391.4&lt;/D&gt;&lt;/FQL&gt;&lt;FQL&gt;&lt;Q&gt;DPZ-US^FCS_SHARES(TOT,SHS,ANN,0,,,,,M)&lt;/Q&gt;&lt;R&gt;1&lt;/R&gt;&lt;C&gt;1&lt;/C&gt;&lt;D xsi:type="xsd:double"&gt;35.279639&lt;/D&gt;&lt;/FQL&gt;&lt;FQL&gt;&lt;Q&gt;MCD-US^FCS_SHARES(TOT,SHS,ANN,0,,,,,M)&lt;/Q&gt;&lt;R&gt;1&lt;/R&gt;&lt;C&gt;1&lt;/C&gt;&lt;D xsi:type="xsd:double"&gt;727.679518&lt;/D&gt;&lt;/FQL&gt;&lt;FQL&gt;&lt;Q&gt;WEN-US^FCS_SHARES(TOT,SHS,ANN,0,,,,,M)&lt;/Q&gt;&lt;R&gt;1&lt;/R&gt;&lt;C&gt;1&lt;/C&gt;&lt;D xsi:type="xsd:double"&gt;207.871&lt;/D&gt;&lt;/FQL&gt;&lt;FQL&gt;&lt;Q&gt;CMG-US^FCS_SHARES(TOT,SHS,ANN,0,,,,,M)&lt;/Q&gt;&lt;R&gt;1&lt;/R&gt;&lt;C&gt;1&lt;/C&gt;&lt;D xsi:type="xsd:double"&gt;1383.44878092249&lt;/D&gt;&lt;/FQL&gt;&lt;FQL&gt;&lt;Q&gt;CMG-US^FF_CASH_ST(QTR_R,0)&lt;/Q&gt;&lt;R&gt;1&lt;/R&gt;&lt;C&gt;1&lt;/C&gt;&lt;D xsi:type="xsd:double"&gt;1489.815&lt;/D&gt;&lt;/FQL&gt;&lt;FQL&gt;&lt;Q&gt;DPZ-US^FF_SALES(ANN_R,0Y,,,,USD)&lt;/Q&gt;&lt;R&gt;1&lt;/R&gt;&lt;C&gt;1&lt;/C&gt;&lt;D xsi:type="xsd:double"&gt;4479.358&lt;/D&gt;&lt;/FQL&gt;&lt;FQL&gt;&lt;Q&gt;QSR-US^FF_EBITDA_OPER(ANN_R,-1AY,,,,USD)&lt;/Q&gt;&lt;R&gt;1&lt;/R&gt;&lt;C&gt;1&lt;/C&gt;&lt;D xsi:type="xsd:double"&gt;2219&lt;/D&gt;&lt;/FQL&gt;&lt;FQL&gt;&lt;Q&gt;YUM-US^FF_NET_INC(ANN_R,-1AY,,,,USD)&lt;/Q&gt;&lt;R&gt;1&lt;/R&gt;&lt;C&gt;1&lt;/C&gt;&lt;D xsi:type="xsd:double"&gt;1325&lt;/D&gt;&lt;/FQL&gt;&lt;FQL&gt;&lt;Q&gt;WEN-US^FF_SALES(ANN_R,-2AY,,,,USD)&lt;/Q&gt;&lt;R&gt;1&lt;/R&gt;&lt;C&gt;1&lt;/C&gt;&lt;D xsi:type="xsd:double"&gt;1896.998&lt;/D&gt;&lt;/FQL&gt;&lt;FQL&gt;&lt;Q&gt;CMG-US^FF_SALES(ANN_R,0Y,,,,USD)&lt;/Q&gt;&lt;R&gt;1&lt;/R&gt;&lt;C&gt;1&lt;/C&gt;&lt;D xsi:type="xsd:double"&gt;9871.649&lt;/D&gt;&lt;/FQL&gt;&lt;FQL&gt;&lt;Q&gt;MCD-US^FG_PRICE(0,,,USD)&lt;/Q&gt;&lt;R&gt;1&lt;/R&gt;&lt;C&gt;1&lt;/C&gt;&lt;D xsi:type="xsd:double"&gt;278.49&lt;/D&gt;&lt;/FQL&gt;&lt;FQL&gt;&lt;Q&gt;MCD-US^FF_CASH_ST(QTR_R,0)&lt;/Q&gt;&lt;R&gt;1&lt;/R&gt;&lt;C&gt;1&lt;/C&gt;&lt;D xsi:type="xsd:double"&gt;792&lt;/D&gt;&lt;/FQL&gt;&lt;FQL&gt;&lt;Q&gt;DRI-US^FF_SALES(ANN_R,-1AY,,,,USD)&lt;/Q&gt;&lt;R&gt;1&lt;/R&gt;&lt;C&gt;1&lt;/C&gt;&lt;D xsi:type="xsd:double"&gt;10487.8&lt;/D&gt;&lt;/FQL&gt;&lt;FQL&gt;&lt;Q&gt;MCD-US^FF_EBITDA_OPER(ANN_R,0Y,,,,USD)&lt;/Q&gt;&lt;R&gt;1&lt;/R&gt;&lt;C&gt;1&lt;/C&gt;&lt;D xsi:type="xsd:double"&gt;13697&lt;/D&gt;&lt;/FQL&gt;&lt;FQL&gt;&lt;Q&gt;WEN-US^FF_NET_INC(ANN_R,0Y,,,,USD)&lt;/Q&gt;&lt;R&gt;1&lt;/R&gt;&lt;C&gt;1&lt;/C&gt;&lt;D xsi:type="xsd:double"&gt;204.44&lt;/D&gt;&lt;/FQL&gt;&lt;FQL&gt;&lt;Q&gt;SBUX-US^FF_SALES(ANN_R,-1AY,,,,USD)&lt;/Q&gt;&lt;R&gt;1&lt;/R&gt;&lt;C&gt;1&lt;/C&gt;&lt;D xsi:type="xsd:double"&gt;32228.3&lt;/D&gt;&lt;/FQL&gt;&lt;FQL&gt;&lt;Q&gt;YUM-US^FF_DEBT(QTR_R,0)&lt;/Q&gt;&lt;R&gt;1&lt;/R&gt;&lt;C&gt;1&lt;/C&gt;&lt;D xsi:type="xsd:double"&gt;12012&lt;/D&gt;&lt;/FQL&gt;&lt;FQL&gt;&lt;Q&gt;MCD-US^FG_COMPANY_NAME&lt;/Q&gt;&lt;R&gt;1&lt;/R&gt;&lt;C&gt;1&lt;/C&gt;&lt;D xsi:type="xsd:string"&gt;McDonald's Corporation&lt;/D&gt;&lt;/FQL&gt;&lt;FQL&gt;&lt;Q&gt;DRI-US^FF_NET_INC(ANN_R,0Y,,,,USD)&lt;/Q&gt;&lt;R&gt;1&lt;/R&gt;&lt;C&gt;1&lt;/C&gt;&lt;D xsi:type="xsd:double"&gt;1030.5&lt;/D&gt;&lt;/FQL&gt;&lt;FQL&gt;&lt;Q&gt;DRI-US^FF_SALES(ANN_R,-2AY,,,,USD)&lt;/Q&gt;&lt;R&gt;1&lt;/R&gt;&lt;C&gt;1&lt;/C&gt;&lt;D xsi:type="xsd:double"&gt;9630&lt;/D&gt;&lt;/FQL&gt;&lt;FQL&gt;&lt;Q&gt;DPZ-US^FF_SALES(ANN_R,-1AY,,,,USD)&lt;/Q&gt;&lt;R&gt;1&lt;/R&gt;&lt;C&gt;1&lt;/C&gt;&lt;D xsi:type="xsd:double"&gt;4537.158&lt;/D&gt;&lt;/FQL&gt;&lt;FQL&gt;&lt;Q&gt;QSR-US^FF_SALES(ANN_R,0Y,,,,USD)&lt;/Q&gt;&lt;R&gt;1&lt;/R&gt;&lt;C&gt;1&lt;/C&gt;&lt;D xsi:type="xsd:double"&gt;7022.00000000281&lt;/D&gt;&lt;/FQL&gt;&lt;FQL&gt;&lt;Q&gt;MCD-US^FF_EBITDA_OPER(ANN_R,-1AY,,,,USD)&lt;/Q&gt;&lt;R&gt;1&lt;/R&gt;&lt;C&gt;1&lt;/C&gt;&lt;D xsi:type="xsd:double"&gt;12224.5&lt;/D&gt;&lt;/FQL&gt;&lt;FQL&gt;&lt;Q&gt;YUM-US^FF_EBITDA_OPER(ANN_R,0Y,,,,USD)&lt;/Q&gt;&lt;R&gt;1&lt;/R&gt;&lt;C&gt;1&lt;/C&gt;&lt;D xsi:type="xsd:double"&gt;2506&lt;/D&gt;&lt;/FQL&gt;&lt;FQL&gt;&lt;Q&gt;WEN-US^FF_NET_INC(ANN_R,-1AY,,,,USD)&lt;/Q&gt;&lt;R&gt;1&lt;/R&gt;&lt;C&gt;1&lt;/C&gt;&lt;D xsi:type="xsd:double"&gt;177.37&lt;/D&gt;&lt;/FQL&gt;&lt;FQL&gt;&lt;Q&gt;SBUX-US^FF_NET_INC(ANN_R,0Y,,,,USD)&lt;/Q&gt;&lt;R&gt;1&lt;/R&gt;&lt;C&gt;1&lt;/C&gt;&lt;D xsi:type="xsd:double"&gt;4124.5&lt;/D&gt;&lt;/FQL&gt;&lt;FQL&gt;&lt;Q&gt;SBUX-US^FF_SALES(ANN_R,-2AY,,,,USD)&lt;/Q&gt;&lt;R&gt;1&lt;/R&gt;&lt;C&gt;1&lt;/C&gt;&lt;D xsi:type="xsd:double"&gt;29058.8&lt;/D&gt;&lt;/FQL&gt;&lt;FQL&gt;&lt;Q&gt;CMG-US^FF_SALES(ANN_R,-1AY,,,,USD)&lt;/Q&gt;&lt;R&gt;1&lt;/R&gt;&lt;C&gt;1&lt;/C&gt;&lt;D xsi:type="xsd:double"&gt;8634.652&lt;/D&gt;&lt;/FQL&gt;&lt;FQL&gt;&lt;Q&gt;DPZ-US^FF_CASH_ST(QTR_R,0)&lt;/Q&gt;&lt;R&gt;1&lt;/R&gt;&lt;C&gt;1&lt;/C&gt;&lt;D xsi:type="xsd:double"&gt;560.767&lt;/D&gt;&lt;/FQL&gt;&lt;FQL&gt;&lt;Q&gt;YUM-US^FF_CASH_ST(QTR_R,0)&lt;/Q&gt;&lt;R&gt;1&lt;/R&gt;&lt;C&gt;1&lt;/C&gt;&lt;D xsi:type="xsd:double"&gt;703&lt;/D&gt;&lt;/FQL&gt;&lt;FQL&gt;&lt;Q&gt;DPZ-US^FG_COMPANY_NAME&lt;/Q&gt;&lt;R&gt;1&lt;/R&gt;&lt;C&gt;1&lt;/C&gt;&lt;D xsi:type="xsd:string"&gt;Domino's Pizza, Inc.&lt;/D&gt;&lt;/FQL&gt;&lt;FQL&gt;&lt;Q&gt;CMG-US^FG_COMPANY_NAME&lt;/Q&gt;&lt;R&gt;1&lt;/R&gt;&lt;C&gt;1&lt;/C&gt;&lt;D xsi:type="xsd:string"&gt;Chipotle Mexican Grill, Inc.&lt;/D&gt;&lt;/FQL&gt;&lt;FQL&gt;&lt;Q&gt;DRI-US^FF_NET_INC(ANN_R,-1AY,,,,USD)&lt;/Q&gt;&lt;R&gt;1&lt;/R&gt;&lt;C&gt;1&lt;/C&gt;&lt;D xsi:type="xsd:double"&gt;983.5&lt;/D&gt;&lt;/FQL&gt;&lt;FQL&gt;&lt;Q&gt;DPZ-US^FF_NET_INC(ANN_R,0Y,,,,USD)&lt;/Q&gt;&lt;R&gt;1&lt;/R&gt;&lt;C&gt;1&lt;/C&gt;&lt;D xsi:type="xsd:double"&gt;519.118&lt;/D&gt;&lt;/FQL&gt;&lt;FQL&gt;&lt;Q&gt;DPZ-US^FF_SALES(ANN_R,-2AY,,,,USD)&lt;/Q&gt;&lt;R&gt;1&lt;/R&gt;&lt;C&gt;1&lt;/C&gt;&lt;D xsi:type="xsd:double"&gt;4357.373&lt;/D&gt;&lt;/FQL&gt;&lt;FQL&gt;&lt;Q&gt;QSR-US^FF_SALES(ANN_R,-1AY,,,,USD)&lt;/Q&gt;&lt;R&gt;1&lt;/R&gt;&lt;C&gt;1&lt;/C&gt;&lt;D xsi:type="xsd:double"&gt;6505.00000001044&lt;/D&gt;&lt;/FQL&gt;&lt;FQL&gt;&lt;Q&gt;MCD-US^FF_SALES(ANN_R,0Y,,,,USD)&lt;/Q&gt;&lt;R&gt;1&lt;/R&gt;&lt;C&gt;1&lt;/C&gt;&lt;D xsi:type="xsd:double"&gt;25493.7&lt;/D&gt;&lt;/FQL&gt;&lt;FQL&gt;&lt;Q&gt;YUM-US^FF_EBITDA_OPER(ANN_R,-1AY,,,,USD)&lt;/Q&gt;&lt;R&gt;1&lt;/R&gt;&lt;C&gt;1&lt;/C&gt;&lt;D xsi:type="xsd:double"&gt;2355&lt;/D&gt;&lt;/FQL&gt;&lt;FQL&gt;&lt;Q&gt;WEN-US^FF_EBITDA_OPER(ANN_R,0Y,,,,USD)&lt;/Q&gt;&lt;R&gt;1&lt;/R&gt;&lt;C&gt;1&lt;/C&gt;&lt;D xsi:type="xsd:double"&gt;526.504&lt;/D&gt;&lt;/FQL&gt;&lt;FQL&gt;&lt;Q&gt;CMG-US^FF_NET_INC(ANN_R,0Y,,,,USD)&lt;/Q&gt;&lt;R&gt;1&lt;/R&gt;&lt;C&gt;1&lt;/C&gt;&lt;D xsi:type="xsd:double"&gt;1228.737&lt;/D&gt;&lt;/FQL&gt;&lt;FQL&gt;&lt;Q&gt;CMG-US^FF_SALES(ANN_R,-2AY,,,,USD)&lt;/Q&gt;&lt;R&gt;1&lt;/R&gt;&lt;C&gt;1&lt;/C&gt;&lt;D xsi:type="xsd:double"&gt;7547.061&lt;/D&gt;&lt;/FQL&gt;&lt;FQL&gt;&lt;Q&gt;QSR-US^FF_DEBT(QTR_R,0)&lt;/Q&gt;&lt;R&gt;1&lt;/R&gt;&lt;C&gt;1&lt;/C&gt;&lt;D xsi:type="xsd:double"&gt;15966&lt;/D&gt;&lt;/FQL&gt;&lt;FQL&gt;&lt;Q&gt;WEN-US^FF_DEBT(QTR_R,0)&lt;/Q&gt;&lt;R&gt;1&lt;/R&gt;&lt;C&gt;1&lt;/C&gt;&lt;D xsi:type="xsd:double"&gt;4103.697&lt;/D&gt;&lt;/FQL&gt;&lt;FQL&gt;&lt;Q&gt;DRI-US^FCS_SHARES(TOT,SHS,ANN,0,,,,,M)&lt;/Q&gt;&lt;R&gt;1&lt;/R&gt;&lt;C&gt;1&lt;/C&gt;&lt;D xsi:type="xsd:double"&gt;119.8045&lt;/D&gt;&lt;/FQL&gt;&lt;FQL&gt;&lt;Q&gt;QSR-US^FCS_SHARES(TOT,SHS,ANN,0,,,,,M)&lt;/Q&gt;&lt;R&gt;1&lt;/R&gt;&lt;C&gt;1&lt;/C&gt;&lt;D xsi:type="xsd:double"&gt;457.852611&lt;/D&gt;&lt;/FQL&gt;&lt;FQL&gt;&lt;Q&gt;YUM-US^FCS_SHARES(TOT,SHS,ANN,0,,,,,M)&lt;/Q&gt;&lt;R&gt;1&lt;/R&gt;&lt;C&gt;1&lt;/C&gt;&lt;D xsi:type="xsd:double"&gt;285.144745&lt;/D&gt;&lt;/FQL&gt;&lt;FQL&gt;&lt;Q&gt;SBUX-US^FCS_SHARES(TOT,SHS,ANN,0,,,,,M)&lt;/Q&gt;&lt;R&gt;1&lt;/R&gt;&lt;C&gt;1&lt;/C&gt;&lt;D xsi:type="xsd:double"&gt;1150.691279&lt;/D&gt;&lt;/FQL&gt;&lt;FQL&gt;&lt;Q&gt;QSR-US^FF_NET_INC(ANN_R,-1AY,,,,USD)&lt;/Q&gt;&lt;R&gt;1&lt;/R&gt;&lt;C&gt;1&lt;/C&gt;&lt;D xsi:type="xsd:double"&gt;1008.00000000162&lt;/D&gt;&lt;/FQL&gt;&lt;FQL&gt;&lt;Q&gt;WEN-US^FF_SALES(ANN_R,0Y,,,,USD)&lt;/Q&gt;&lt;R&gt;1&lt;/R&gt;&lt;C&gt;1&lt;/C&gt;&lt;D xsi:type="xsd:double"&gt;2181.578&lt;/D&gt;&lt;/FQL&gt;&lt;FQL&gt;&lt;Q&gt;MCD-US^FF_DEBT(QTR_R,0)&lt;/Q&gt;&lt;R&gt;1&lt;/R&gt;&lt;C&gt;1&lt;/C&gt;&lt;D xsi:type="xsd:double"&gt;51999&lt;/D&gt;&lt;/FQL&gt;&lt;FQL&gt;&lt;Q&gt;YUM-US^FG_COMPANY_NAME&lt;/Q&gt;&lt;R&gt;1&lt;/R&gt;&lt;C&gt;1&lt;/C&gt;&lt;D xsi:type="xsd:string"&gt;Yum! Brands, Inc.&lt;/D&gt;&lt;/FQL&gt;&lt;FQL&gt;&lt;Q&gt;DPZ-US^FG_PRICE(0,,,USD)&lt;/Q&gt;&lt;R&gt;1&lt;/R&gt;&lt;C&gt;1&lt;/C&gt;&lt;D xsi:type="xsd:double"&gt;442.91&lt;/D&gt;&lt;/FQL&gt;&lt;FQL&gt;&lt;Q&gt;SBUX-US^FF_NET_INC(ANN_R,-1AY,,,,USD)&lt;/Q&gt;&lt;R&gt;1&lt;/R&gt;&lt;C&gt;1&lt;/C&gt;&lt;D xsi:type="xsd:double"&gt;3281.6&lt;/D&gt;&lt;/FQL&gt;&lt;FQL&gt;&lt;Q&gt;MCD-US^FF_NET_INC(ANN_R,0Y,,,,USD)&lt;/Q&gt;&lt;R&gt;1&lt;/R&gt;&lt;C&gt;1&lt;/C&gt;&lt;D xsi:type="xsd:double"&gt;8468.8&lt;/D&gt;&lt;/FQL&gt;&lt;FQL&gt;&lt;Q&gt;CMG-US^FF_EBITDA_OPER(ANN_R,0Y,,,,USD)&lt;/Q&gt;&lt;R&gt;1&lt;/R&gt;&lt;C&gt;1&lt;/C&gt;&lt;D xsi:type="xsd:double"&gt;1947.743&lt;/D&gt;&lt;/FQL&gt;&lt;FQL&gt;&lt;Q&gt;DRI-US^FG_COMPANY_NAME&lt;/Q&gt;&lt;R&gt;1&lt;/R&gt;&lt;C&gt;1&lt;/C&gt;&lt;D xsi:type="xsd:string"&gt;Darden Restaurants, Inc.&lt;/D&gt;&lt;/FQL&gt;&lt;FQL&gt;&lt;Q&gt;CMG-US^FG_PRICE(0,,,USD)&lt;/Q&gt;&lt;R&gt;1&lt;/R&gt;&lt;C&gt;1&lt;/C&gt;&lt;D xsi:type="xsd:double"&gt;52.47&lt;/D&gt;&lt;/FQL&gt;&lt;FQL&gt;&lt;Q&gt;DRI-US^FF_EBITDA_OPER(ANN_R,0Y,,,,USD)&lt;/Q&gt;&lt;R&gt;1&lt;/R&gt;&lt;C&gt;1&lt;/C&gt;&lt;D xsi:type="xsd:double"&gt;1795.2&lt;/D&gt;&lt;/FQL&gt;&lt;FQL&gt;&lt;Q&gt;DPZ-US^FF_NET_INC(ANN_R,-1AY,,,,USD)&lt;/Q&gt;&lt;R&gt;1&lt;/R&gt;&lt;C&gt;1&lt;/C&gt;&lt;D xsi:type="xsd:double"&gt;452.263&lt;/D&gt;&lt;/FQL&gt;&lt;FQL&gt;&lt;Q&gt;QSR-US^FF_NET_INC(ANN_R,0Y,,,,USD)&lt;/Q&gt;&lt;R&gt;1&lt;/R&gt;&lt;C&gt;1&lt;/C&gt;&lt;D xsi:type="xsd:double"&gt;1190.00000000048&lt;/D&gt;&lt;/FQL&gt;&lt;FQL&gt;&lt;Q&gt;QSR-US^FF_SALES(ANN_R,-2AY,,,,USD)&lt;/Q&gt;&lt;R&gt;1&lt;/R&gt;&lt;C&gt;1&lt;/C&gt;&lt;D xsi:type="xsd:double"&gt;5739.00000001204&lt;/D&gt;&lt;/FQL&gt;&lt;FQL&gt;&lt;Q&gt;MCD-US^FF_SALES(ANN_R,-1AY,,,,USD)&lt;/Q&gt;&lt;R&gt;1&lt;/R&gt;&lt;C&gt;1&lt;/C&gt;&lt;D xsi:type="xsd:double"&gt;23182.6&lt;/D&gt;&lt;/FQL&gt;&lt;FQL&gt;&lt;Q&gt;YUM-US^FF_SALES(ANN_R,0Y,,,,USD)&lt;/Q&gt;&lt;R&gt;1&lt;/R&gt;&lt;C&gt;1&lt;/C&gt;&lt;D xsi:type="xsd:double"&gt;7076&lt;/D&gt;&lt;/FQL&gt;&lt;FQL&gt;&lt;Q&gt;WEN-US^FF_EBITDA_OPER(ANN_R,-1AY,,,,USD)&lt;/Q&gt;&lt;R&gt;1&lt;/R&gt;&lt;C&gt;1&lt;/C&gt;&lt;D xsi:type="xsd:double"&gt;499.693&lt;/D&gt;&lt;/FQL&gt;&lt;FQL&gt;&lt;Q&gt;SBUX-US^FF_EBITDA_OPER(ANN_R,0Y,,,,USD)&lt;/Q&gt;&lt;R&gt;1&lt;/R&gt;&lt;C&gt;1&lt;/C&gt;&lt;D xsi:type="xsd:double"&gt;6824.7&lt;/D&gt;&lt;/FQL&gt;&lt;FQL&gt;&lt;Q&gt;CMG-US^FF_NET_INC(ANN_R,-1AY,,,,USD)&lt;/Q&gt;&lt;R&gt;1&lt;/R&gt;&lt;C&gt;1&lt;/C&gt;&lt;D xsi:type="xsd:double"&gt;899.101&lt;/D&gt;&lt;/FQL&gt;&lt;FQL&gt;&lt;Q&gt;CMG-US^FF_EPS(ANN_R,NOW)&lt;/Q&gt;&lt;R&gt;1&lt;/R&gt;&lt;C&gt;1&lt;/C&gt;&lt;D xsi:type="xsd:double"&gt;0.8868&lt;/D&gt;&lt;/FQL&gt;&lt;FQL&gt;&lt;Q&gt;QSR-US^FF_CASH_ST(QTR_R,0)&lt;/Q&gt;&lt;R&gt;1&lt;/R&gt;&lt;C&gt;1&lt;/C&gt;&lt;D xsi:type="xsd:double"&gt;942&lt;/D&gt;&lt;/FQL&gt;&lt;FQL&gt;&lt;Q&gt;WEN-US^FF_CASH_ST(QTR_R,0)&lt;/Q&gt;&lt;R&gt;1&lt;/R&gt;&lt;C&gt;1&lt;/C&gt;&lt;D xsi:type="xsd:double"&gt;524.641&lt;/D&gt;&lt;/FQL&gt;&lt;FQL&gt;&lt;Q&gt;DRI-US^FG_PRICE(0,,,USD)&lt;/Q&gt;&lt;R&gt;1&lt;/R&gt;&lt;C&gt;1&lt;/C&gt;&lt;D xsi:type="xsd:double"&gt;143.36&lt;/D&gt;&lt;/FQL&gt;&lt;FQL&gt;&lt;Q&gt;QSR-US^FG_PRICE(0,,,USD)&lt;/Q&gt;&lt;R&gt;1&lt;/R&gt;&lt;C&gt;1&lt;/C&gt;&lt;D xsi:type="xsd:double"&gt;70.81&lt;/D&gt;&lt;/FQL&gt;&lt;FQL&gt;&lt;Q&gt;YUM-US^FG_PRICE(0,,,USD)&lt;/Q&gt;&lt;R&gt;1&lt;/R&gt;&lt;C&gt;1&lt;/C&gt;&lt;D xsi:type="xsd:double"&gt;137.4&lt;/D&gt;&lt;/FQL&gt;&lt;FQL&gt;&lt;Q&gt;SBUX-US^FG_PRICE(0,,,USD)&lt;/Q&gt;&lt;R&gt;1&lt;/R&gt;&lt;C&gt;1&lt;/C&gt;&lt;D xsi:type="xsd:double"&gt;94.81&lt;/D&gt;&lt;/FQL&gt;&lt;FQL&gt;&lt;Q&gt;CMG-US^FREF_SHARES_COMPANY(0,,,,0,"LEGACY")&lt;/Q&gt;&lt;R&gt;1&lt;/R&gt;&lt;C&gt;1&lt;/C&gt;&lt;D xsi:type="xsd:double"&gt;1369.47595214844&lt;/D&gt;&lt;/FQL&gt;&lt;FQL&gt;&lt;Q&gt;DPZ-US^FF_EBITDA_OPER(ANN_R,0Y,,,,USD)&lt;/Q&gt;&lt;R&gt;1&lt;/R&gt;&lt;C&gt;1&lt;/C&gt;&lt;D xsi:type="xsd:double"&gt;901.607&lt;/D&gt;&lt;/FQL&gt;&lt;FQL&gt;&lt;Q&gt;YUM-US^FF_SALES(ANN_R,-1AY,,,,USD)&lt;/Q&gt;&lt;R&gt;1&lt;/R&gt;&lt;C&gt;1&lt;/C&gt;&lt;D xsi:type="xsd:double"&gt;6842&lt;/D&gt;&lt;/FQL&gt;&lt;FQL&gt;&lt;Q&gt;DRI-US^FF_DEBT(QTR_R,0)&lt;/Q&gt;&lt;R&gt;1&lt;/R&gt;&lt;C&gt;1&lt;/C&gt;&lt;D xsi:type="xsd:double"&gt;6733.1&lt;/D&gt;&lt;/FQL&gt;&lt;FQL&gt;&lt;Q&gt;QSR-US^FG_COMPANY_NAME&lt;/Q&gt;&lt;R&gt;1&lt;/R&gt;&lt;C&gt;1&lt;/C&gt;&lt;D xsi:type="xsd:string"&gt;Restaurant Brands International, Inc.&lt;/D&gt;&lt;/FQL&gt;&lt;FQL&gt;&lt;Q&gt;DPZ-US^FF_DEBT(QTR_R,0)&lt;/Q&gt;&lt;R&gt;1&lt;/R&gt;&lt;C&gt;1&lt;/C&gt;&lt;D xsi:type="xsd:double"&gt;5201.998&lt;/D&gt;&lt;/FQL&gt;&lt;FQL&gt;&lt;Q&gt;WEN-US^FG_COMPANY_NAME&lt;/Q&gt;&lt;R&gt;1&lt;/R&gt;&lt;C&gt;1&lt;/C&gt;&lt;D xsi:type="xsd:string"&gt;Wendy's Company&lt;/D&gt;&lt;/FQL&gt;&lt;FQL&gt;&lt;Q&gt;KEMIRA-FI^FE_VALUATION(PE,MEAN,ANN,+2,NOW,,,'')&lt;/Q&gt;&lt;R&gt;1&lt;/R&gt;&lt;C&gt;1&lt;/C&gt;&lt;D xsi:type="xsd:double"&gt;12.059049&lt;/D&gt;&lt;/FQL&gt;&lt;FQL&gt;&lt;Q&gt;KEMIRA-FI^FE_VALUATION(PE,MEAN,ANN,+1,NOW,,,'')&lt;/Q&gt;&lt;R&gt;1&lt;/R&gt;&lt;C&gt;1&lt;/C&gt;&lt;D xsi:type="xsd:double"&gt;11.413991&lt;/D&gt;&lt;/FQL&gt;&lt;FQL&gt;&lt;Q&gt;KEMIRA-FI^FE_VALUATION(FFEV_EBITDA,MEAN,ANN,+2,NOW,,,'')&lt;/Q&gt;&lt;R&gt;1&lt;/R&gt;&lt;C&gt;1&lt;/C&gt;&lt;D xsi:type="xsd:double"&gt;6.3116217&lt;/D&gt;&lt;/FQL&gt;&lt;FQL&gt;&lt;Q&gt;KEMIRA-FI^FE_VALUATION(FFEV_EBITDA,MEAN,ANN,+1,NOW,,,'')&lt;/Q&gt;&lt;R&gt;1&lt;/R&gt;&lt;C&gt;1&lt;/C&gt;&lt;D xsi:type="xsd:double"&gt;6.171523&lt;/D&gt;&lt;/FQL&gt;&lt;FQL&gt;&lt;Q&gt;KEMIRA-FI^FE_VALUATION(FFEV_SALES,MEAN,ANN,+2,NOW,,,'')&lt;/Q&gt;&lt;R&gt;1&lt;/R&gt;&lt;C&gt;1&lt;/C&gt;&lt;D xsi:type="xsd:double"&gt;1.2180045&lt;/D&gt;&lt;/FQL&gt;&lt;FQL&gt;&lt;Q&gt;KEMIRA-FI^FE_VALUATION(FFEV_SALES,MEAN,ANN,+1,NOW,,,'')&lt;/Q&gt;&lt;R&gt;1&lt;/R&gt;&lt;C&gt;1&lt;/C&gt;&lt;D xsi:type="xsd:double"&gt;1.2302777&lt;/D&gt;&lt;/FQL&gt;&lt;FQL&gt;&lt;Q&gt;VIE-FR^FE_VALUATION(PE,MEAN,ANN,+2,NOW,,,'')&lt;/Q&gt;&lt;R&gt;1&lt;/R&gt;&lt;C&gt;1&lt;/C&gt;&lt;D xsi:type="xsd:double"&gt;12.4642105&lt;/D&gt;&lt;/FQL&gt;&lt;FQL&gt;&lt;Q&gt;VIE-FR^FE_VALUATION(PE,MEAN,ANN,+1,NOW,,,'')&lt;/Q&gt;&lt;R&gt;1&lt;/R&gt;&lt;C&gt;1&lt;/C&gt;&lt;D xsi:type="xsd:double"&gt;13.817805&lt;/D&gt;&lt;/FQL&gt;&lt;FQL&gt;&lt;Q&gt;VIE-FR^FE_VALUATION(FFEV_EBITDA,MEAN,ANN,+2,NOW,,,'')&lt;/Q&gt;&lt;R&gt;1&lt;/R&gt;&lt;C&gt;1&lt;/C&gt;&lt;D xsi:type="xsd:double"&gt;6.8326106&lt;/D&gt;&lt;/FQL&gt;&lt;FQL&gt;&lt;Q&gt;VIE-FR^FE_VALUATION(FFEV_EBITDA,MEAN,ANN,+1,NOW,,,'')&lt;/Q&gt;&lt;R&gt;1&lt;/R&gt;&lt;C&gt;1&lt;/C&gt;&lt;D xsi:type="xsd:double"&gt;7.246308&lt;/D&gt;&lt;/FQL&gt;&lt;FQL&gt;&lt;Q&gt;VIE-FR^FE_VALUATION(FFEV_SALES,MEAN,ANN,+2,NOW,,,'')&lt;/Q&gt;&lt;R&gt;1&lt;/R&gt;&lt;C&gt;1&lt;/C&gt;&lt;D xsi:type="xsd:double"&gt;1.0247288&lt;/D&gt;&lt;/FQL&gt;&lt;FQL&gt;&lt;Q&gt;VIE-FR^FE_VALUATION(FFEV_SALES,MEAN,ANN,+1,NOW,,,'')&lt;/Q&gt;&lt;R&gt;1&lt;/R&gt;&lt;C&gt;1&lt;/C&gt;&lt;D xsi:type="xsd:double"&gt;1.0679462&lt;/D&gt;&lt;/FQL&gt;&lt;FQL&gt;&lt;Q&gt;PNR-US^FE_VALUATION(PE,MEAN,ANN,+2,NOW,,,'')&lt;/Q&gt;&lt;R&gt;1&lt;/R&gt;&lt;C&gt;1&lt;/C&gt;&lt;D xsi:type="xsd:double"&gt;17.661356&lt;/D&gt;&lt;/FQL&gt;&lt;FQL&gt;&lt;Q&gt;PNR-US^FE_VALUATION(PE,MEAN,ANN,+1,NOW,,,'')&lt;/Q&gt;&lt;R&gt;1&lt;/R&gt;&lt;C&gt;1&lt;/C&gt;&lt;D xsi:type="xsd:double"&gt;19.924946&lt;/D&gt;&lt;/FQL&gt;&lt;FQL&gt;&lt;Q&gt;PNR-US^FE_VALUATION(FFEV_EBITDA,MEAN,ANN,+2,NOW,,,'')&lt;/Q&gt;&lt;R&gt;1&lt;/R&gt;&lt;C&gt;1&lt;/C&gt;&lt;D xsi:type="xsd:double"&gt;14.195156&lt;/D&gt;&lt;/FQL&gt;&lt;FQL&gt;&lt;Q&gt;PNR-US^FE_VALUATION(FFEV_EBITDA,MEAN,ANN,+1,NOW,,,'')&lt;/Q&gt;&lt;R&gt;1&lt;/R&gt;&lt;C&gt;1&lt;/C&gt;&lt;D xsi:type="xsd:double"&gt;15.434695&lt;/D&gt;&lt;/FQL&gt;&lt;FQL&gt;&lt;Q&gt;PNR-US^FE_VALUATION(FFEV_SALES,MEAN,ANN,+2,NOW,,,'')&lt;/Q&gt;&lt;R&gt;1&lt;/R&gt;&lt;C&gt;1&lt;/C&gt;&lt;D xsi:type="xsd:double"&gt;3.6833515&lt;/D&gt;&lt;/FQL&gt;&lt;FQL&gt;&lt;Q&gt;PNR-US^FE_VALUATION(FFEV_SALES,MEAN,ANN,+1,NOW,,,'')&lt;/Q&gt;&lt;R&gt;1&lt;/R&gt;&lt;C&gt;1&lt;/C&gt;&lt;D xsi:type="xsd:double"&gt;3.8431766&lt;/D&gt;&lt;/FQL&gt;&lt;FQL&gt;&lt;Q&gt;STE-US^FE_VALUATION(PE,MEAN,ANN,+2,NOW,,,'')&lt;/Q&gt;&lt;R&gt;1&lt;/R&gt;&lt;C&gt;1&lt;/C&gt;&lt;D xsi:type="xsd:double"&gt;23.000706&lt;/D&gt;&lt;/FQL&gt;&lt;FQL&gt;&lt;Q&gt;STE-US^FE_VALUATION(PE,MEAN,ANN,+1,NOW,,,'')&lt;/Q&gt;&lt;R&gt;1&lt;/R&gt;&lt;C&gt;1&lt;/C&gt;&lt;D xsi:type="xsd:double"&gt;25.36463&lt;/D&gt;&lt;/FQL&gt;&lt;FQL&gt;&lt;Q&gt;STE-US^FE_VALUATION(FFEV_EBITDA,MEAN,ANN,+2,NOW,,,'')&lt;/Q&gt;&lt;R&gt;1&lt;/R&gt;&lt;C&gt;1&lt;/C&gt;&lt;D xsi:type="xsd:double"&gt;15.171759&lt;/D&gt;&lt;/FQL&gt;&lt;FQL&gt;&lt;Q&gt;STE-US^FE_VALUATION(FFEV_EBITDA,MEAN,ANN,+1,NOW,,,'')&lt;/Q&gt;&lt;R&gt;1&lt;/R&gt;&lt;C&gt;1&lt;/C&gt;&lt;D xsi:type="xsd:double"&gt;16.476425&lt;/D&gt;&lt;/FQL&gt;&lt;FQL&gt;&lt;Q&gt;STE-US^FE_VALUATION(FFEV_SALES,MEAN,ANN,+2,NOW,,,'')&lt;/Q&gt;&lt;R&gt;1&lt;/R&gt;&lt;C&gt;1&lt;/C&gt;&lt;D xsi:type="xsd:double"&gt;4.345765&lt;/D&gt;&lt;/FQL&gt;&lt;FQL&gt;&lt;Q&gt;STE-US^FE_VALUATION(FFEV_SALES,MEAN,ANN,+1,NOW,,,'')&lt;/Q&gt;&lt;R&gt;1&lt;/R&gt;&lt;C&gt;1&lt;/C&gt;&lt;D xsi:type="xsd:double"&gt;4.6104355&lt;/D&gt;&lt;/FQL&gt;&lt;FQL&gt;&lt;Q&gt;CLX-US^FE_VALUATION(PE,MEAN,ANN,+2,NOW,,,'')&lt;/Q&gt;&lt;R&gt;1&lt;/R&gt;&lt;C&gt;1&lt;/C&gt;&lt;D xsi:type="xsd:double"&gt;20.556318&lt;/D&gt;&lt;/FQL&gt;&lt;FQL&gt;&lt;Q&gt;CLX-US^FE_VALUATION(PE,MEAN,ANN,+1,NOW,,,'')&lt;/Q&gt;&lt;R&gt;1&lt;/R&gt;&lt;C&gt;1&lt;/C&gt;&lt;D xsi:type="xsd:double"&gt;21.980366&lt;/D&gt;&lt;/FQL&gt;&lt;FQL&gt;&lt;Q&gt;CLX-US^FE_VALUATION(FFEV_EBITDA,MEAN,ANN,+2,NOW,,,'')&lt;/Q&gt;&lt;R&gt;1&lt;/R&gt;&lt;C&gt;1&lt;/C&gt;&lt;D xsi:type="xsd:double"&gt;14.58043&lt;/D&gt;&lt;/FQL&gt;&lt;FQL&gt;&lt;Q&gt;CLX-US^FE_VALUATION(FFEV_EBITDA,MEAN,ANN,+1,NOW,,,'')&lt;/Q&gt;&lt;R&gt;1&lt;/R&gt;&lt;C&gt;1&lt;/C&gt;&lt;D xsi:type="xsd:double"&gt;15.526916&lt;/D&gt;&lt;/FQL&gt;&lt;FQL&gt;&lt;Q&gt;CLX-US^FE_VALUATION(FFEV_SALES,MEAN,ANN,+2,NOW,,,'')&lt;/Q&gt;&lt;R&gt;1&lt;/R&gt;&lt;C&gt;1&lt;/C&gt;&lt;D xsi:type="xsd:double"&gt;2.989947&lt;/D&gt;&lt;/FQL&gt;&lt;FQL&gt;&lt;Q&gt;CLX-US^FE_VALUATION(FFEV_SALES,MEAN,ANN,+1,NOW,,,'')&lt;/Q&gt;&lt;R&gt;1&lt;/R&gt;&lt;C&gt;1&lt;/C&gt;&lt;D xsi:type="xsd:double"&gt;3.066719&lt;/D&gt;&lt;/FQL&gt;&lt;FQL&gt;&lt;Q&gt;DOV-US^FE_VALUATION(PE,MEAN,ANN,+2,NOW,,,'')&lt;/Q&gt;&lt;R&gt;1&lt;/R&gt;&lt;C&gt;1&lt;/C&gt;&lt;D xsi:type="xsd:double"&gt;18.50968&lt;/D&gt;&lt;/FQL&gt;&lt;FQL&gt;&lt;Q&gt;DOV-US^FE_VALUATION(PE,MEAN,ANN,+1,NOW,,,'')&lt;/Q&gt;&lt;R&gt;1&lt;/R&gt;&lt;C&gt;1&lt;/C&gt;&lt;D xsi:type="xsd:double"&gt;19.663322&lt;/D&gt;&lt;/FQL&gt;&lt;FQL&gt;&lt;Q&gt;DOV-US^FE_VALUATION(FFEV_EBITDA,MEAN,ANN,+2,NOW,,,'')&lt;/Q&gt;&lt;R&gt;1&lt;/R&gt;&lt;C&gt;1&lt;/C&gt;&lt;D xsi:type="xsd:double"&gt;14.566637&lt;/D&gt;&lt;/FQL&gt;&lt;FQL&gt;&lt;Q&gt;DOV-US^FE_VALUATION(FFEV_EBITDA,MEAN,ANN,+1,NOW,,,'')&lt;/Q&gt;&lt;R&gt;1&lt;/R&gt;&lt;C&gt;1&lt;/C&gt;&lt;D xsi:type="xsd:double"&gt;15.047704&lt;/D&gt;&lt;/FQL&gt;&lt;FQL&gt;&lt;Q&gt;DOV-US^FE_VALUATION(FFEV_SALES,MEAN,ANN,+2,NOW,,,'')&lt;/Q&gt;&lt;R&gt;1&lt;/R&gt;&lt;C&gt;1&lt;/C&gt;&lt;D xsi:type="xsd:double"&gt;3.1998527&lt;/D&gt;&lt;/FQL&gt;&lt;FQL&gt;&lt;Q&gt;DOV-US^FE_VALUATION(FFEV_SALES,MEAN,ANN,+1,NOW,,,'')&lt;/Q&gt;&lt;R&gt;1&lt;/R&gt;&lt;C&gt;1&lt;/C&gt;&lt;D xsi:type="xsd:double"&gt;3.2255921&lt;/D&gt;&lt;/FQL&gt;&lt;FQL&gt;&lt;Q&gt;XYL-US^FE_VALUATION(PE,MEAN,ANN,+2,NOW,,,'')&lt;/Q&gt;&lt;R&gt;1&lt;/R&gt;&lt;C&gt;1&lt;/C&gt;&lt;D xsi:type="xsd:double"&gt;27.648222&lt;/D&gt;&lt;/FQL&gt;&lt;FQL&gt;&lt;Q&gt;XYL-US^FE_VALUATION(PE,MEAN,ANN,+1,NOW,,,'')&lt;/Q&gt;&lt;R&gt;1&lt;/R&gt;&lt;C&gt;1&lt;/C&gt;&lt;D xsi:type="xsd:double"&gt;31.22654&lt;/D&gt;&lt;/FQL&gt;&lt;FQL&gt;&lt;Q&gt;XYL-US^FE_VALUATION(FFEV_EBITDA,MEAN,ANN,+2,NOW,,,'')&lt;/Q&gt;&lt;R&gt;1&lt;/R&gt;&lt;C&gt;1&lt;/C&gt;&lt;D xsi:type="xsd:double"&gt;17.480291&lt;/D&gt;&lt;/FQL&gt;&lt;FQL&gt;&lt;Q&gt;XYL-US^FE_VALUATION(FFEV_EBITDA,MEAN,ANN,+1,NOW,,,'')&lt;/Q&gt;&lt;R&gt;1&lt;/R&gt;&lt;C&gt;1&lt;/C&gt;&lt;D xsi:type="xsd:double"&gt;19.247896&lt;/D&gt;&lt;/FQL&gt;&lt;FQL&gt;&lt;Q&gt;XYL-US^FE_VALUATION(FFEV_SALES,MEAN,ANN,+2,NOW,,,'')&lt;/Q&gt;&lt;R&gt;1&lt;/R&gt;&lt;C&gt;1&lt;/C&gt;&lt;D xsi:type="xsd:double"&gt;3.7068214&lt;/D&gt;&lt;/FQL&gt;&lt;FQL&gt;&lt;Q&gt;XYL-US^FE_VALUATION(FFEV_SALES,MEAN,ANN,+1,NOW,,,'')&lt;/Q&gt;&lt;R&gt;1&lt;/R&gt;&lt;C&gt;1&lt;/C&gt;&lt;D xsi:type="xsd:double"&gt;3.9054873&lt;/D&gt;&lt;/FQL&gt;&lt;FQL&gt;&lt;Q&gt;DD-US^FE_VALUATION(PE,MEAN,ANN,+2,NOW,,,'')&lt;/Q&gt;&lt;R&gt;1&lt;/R&gt;&lt;C&gt;1&lt;/C&gt;&lt;D xsi:type="xsd:double"&gt;18.270102&lt;/D&gt;&lt;/FQL&gt;&lt;FQL&gt;&lt;Q&gt;DD-US^FE_VALUATION(PE,MEAN,ANN,+1,NOW,,,'')&lt;/Q&gt;&lt;R&gt;1&lt;/R&gt;&lt;C&gt;1&lt;/C&gt;&lt;D xsi:type="xsd:double"&gt;21.253382&lt;/D&gt;&lt;/FQL&gt;&lt;FQL&gt;&lt;Q&gt;DD-US^FE_VALUATION(FFEV_EBITDA,MEAN,ANN,+2,NOW,,,'')&lt;/Q&gt;&lt;R&gt;1&lt;/R&gt;&lt;C&gt;1&lt;/C&gt;&lt;D xsi:type="xsd:double"&gt;12.227633&lt;/D&gt;&lt;/FQL&gt;&lt;FQL&gt;&lt;Q&gt;DD-US^FE_VALUATION(FFEV_EBITDA,MEAN,ANN,+1,NOW,,,'')&lt;/Q&gt;&lt;R&gt;1&lt;/R&gt;&lt;C&gt;1&lt;/C&gt;&lt;D xsi:type="xsd:double"&gt;13.328044&lt;/D&gt;&lt;/FQL&gt;&lt;FQL&gt;&lt;Q&gt;DD-US^FE_VALUATION(FFEV_SALES,MEAN,ANN,+2,NOW,,,'')&lt;/Q&gt;&lt;R&gt;1&lt;/R&gt;&lt;C&gt;1&lt;/C&gt;&lt;D xsi:type="xsd:double"&gt;3.133869&lt;/D&gt;&lt;/FQL&gt;&lt;FQL&gt;&lt;Q&gt;DD-US^FE_VALUATION(FFEV_SALES,MEAN,ANN,+1,NOW,,,'')&lt;/Q&gt;&lt;R&gt;1&lt;/R&gt;&lt;C&gt;1&lt;/C&gt;&lt;D xsi:type="xsd:double"&gt;3.3108578&lt;/D&gt;&lt;/FQL&gt;&lt;FQL&gt;&lt;Q&gt;ECL-US^FE_VALUATION(PE,MEAN,ANN,+2,NOW,,,'')&lt;/Q&gt;&lt;R&gt;1&lt;/R&gt;&lt;C&gt;1&lt;/C&gt;&lt;D xsi:type="xsd:double"&gt;32.151066&lt;/D&gt;&lt;/FQL&gt;&lt;FQL&gt;&lt;Q&gt;ECL-US^FE_VALUATION(PE,MEAN,ANN,+1,NOW,,,'')&lt;/Q&gt;&lt;R&gt;1&lt;/R&gt;&lt;C&gt;1&lt;/C&gt;&lt;D xsi:type="xsd:double"&gt;36.20261&lt;/D&gt;&lt;/FQL&gt;&lt;FQL&gt;&lt;Q&gt;ECL-US^FE_VALUATION(FFEV_EBITDA,MEAN,ANN,+2,NOW,,,'')&lt;/Q&gt;&lt;R&gt;1&lt;/R&gt;&lt;C&gt;1&lt;/C&gt;&lt;D xsi:type="xsd:double"&gt;20.113768&lt;/D&gt;&lt;/FQL&gt;&lt;FQL&gt;&lt;Q&gt;ECL-US^FE_VALUATION(FFEV_EBITDA,MEAN,ANN,+1,NOW,,,'')&lt;/Q&gt;&lt;R&gt;1&lt;/R&gt;&lt;C&gt;1&lt;/C&gt;&lt;D xsi:type="xsd:double"&gt;21.574793&lt;/D&gt;&lt;/FQL&gt;&lt;FQL&gt;&lt;Q&gt;ECL-US^FE_VALUATION(FFEV_SALES,MEAN,ANN,+2,NOW,,,'')&lt;/Q&gt;&lt;R&gt;1&lt;/R&gt;&lt;C&gt;1&lt;/C&gt;&lt;D xsi:type="xsd:double"&gt;4.6694045&lt;/D&gt;&lt;/FQL&gt;&lt;FQL&gt;&lt;Q&gt;ECL-US^FE_VALUATION(FFEV_SALES,MEAN,ANN,+1,NOW,,,'')&lt;/Q&gt;&lt;R&gt;1&lt;/R&gt;&lt;C&gt;1&lt;/C&gt;&lt;D xsi:type="xsd:double"&gt;4.8504586&lt;/D&gt;&lt;/FQL&gt;&lt;FQL&gt;&lt;Q&gt;ECL-US^FREF_SHARES_COMPANY(0,,,,0,"LEGACY")&lt;/Q&gt;&lt;R&gt;1&lt;/R&gt;&lt;C&gt;1&lt;/C&gt;&lt;D xsi:type="xsd:double"&gt;284.537628173828&lt;/D&gt;&lt;/FQL&gt;&lt;FQL&gt;&lt;Q&gt;ECL-US^FF_DEBT(QTR_R,0)&lt;/Q&gt;&lt;R&gt;1&lt;/R&gt;&lt;C&gt;1&lt;/C&gt;&lt;D xsi:type="xsd:double"&gt;8115.3&lt;/D&gt;&lt;/FQL&gt;&lt;FQL&gt;&lt;Q&gt;ECL-US^FF_CASH_ST(QTR_R,0)&lt;/Q&gt;&lt;R&gt;1&lt;/R&gt;&lt;C&gt;1&lt;/C&gt;&lt;D xsi:type="xsd:double"&gt;384&lt;/D&gt;&lt;/FQL&gt;&lt;FQL&gt;&lt;Q&gt;KEMIRA-FI^FF_NET_INC(ANN_R,0Y,,,,USD)&lt;/Q&gt;&lt;R&gt;1&lt;/R&gt;&lt;C&gt;1&lt;/C&gt;&lt;D xsi:type="xsd:double"&gt;215.25011664629&lt;/D&gt;&lt;/FQL&gt;&lt;FQL&gt;&lt;Q&gt;KEMIRA-FI^FF_NET_INC(ANN_R,-1AY,,,,USD)&lt;/Q&gt;&lt;R&gt;1&lt;/R&gt;&lt;C&gt;1&lt;/C&gt;&lt;D xsi:type="xsd:double"&gt;243.51076130867&lt;/D&gt;&lt;/FQL&gt;&lt;FQL&gt;&lt;Q&gt;KEMIRA-FI^FF_EBITDA_OPER(ANN_R,0Y,,,,USD)&lt;/Q&gt;&lt;R&gt;1&lt;/R&gt;&lt;C&gt;1&lt;/C&gt;&lt;D xsi:type="xsd:double"&gt;676.56215&lt;/D&gt;&lt;/FQL&gt;&lt;FQL&gt;&lt;Q&gt;KEMIRA-FI^FF_EBITDA_OPER(ANN_R,-1AY,,,,USD)&lt;/Q&gt;&lt;R&gt;1&lt;/R&gt;&lt;C&gt;1&lt;/C&gt;&lt;D xsi:type="xsd:double"&gt;570.78418&lt;/D&gt;&lt;/FQL&gt;&lt;FQL&gt;&lt;Q&gt;KEMIRA-FI^FF_SALES(ANN_R,0Y,,,,USD)&lt;/Q&gt;&lt;R&gt;1&lt;/R&gt;&lt;C&gt;1&lt;/C&gt;&lt;D xsi:type="xsd:double"&gt;3658.17086738348&lt;/D&gt;&lt;/FQL&gt;&lt;FQL&gt;&lt;Q&gt;KEMIRA-FI^FF_SALES(ANN_R,-1AY,,,,USD)&lt;/Q&gt;&lt;R&gt;1&lt;/R&gt;&lt;C&gt;1&lt;/C&gt;&lt;D xsi:type="xsd:double"&gt;3751.55810775757&lt;/D&gt;&lt;/FQL&gt;&lt;FQL&gt;&lt;Q&gt;KEMIRA-FI^FF_SALES(ANN_R,-2AY,,,,USD)&lt;/Q&gt;&lt;R&gt;1&lt;/R&gt;&lt;C&gt;1&lt;/C&gt;&lt;D xsi:type="xsd:double"&gt;3161.08989953995&lt;/D&gt;&lt;/FQL&gt;&lt;FQL&gt;&lt;Q&gt;VIE-FR^FF_NET_INC(ANN_R,0Y,,,,USD)&lt;/Q&gt;&lt;R&gt;1&lt;/R&gt;&lt;C&gt;1&lt;/C&gt;&lt;D xsi:type="xsd:double"&gt;1038.95209491253&lt;/D&gt;&lt;/FQL&gt;&lt;FQL&gt;&lt;Q&gt;VIE-FR^FF_NET_INC(ANN_R,-1AY,,,,USD)&lt;/Q&gt;&lt;R&gt;1&lt;/R&gt;&lt;C&gt;1&lt;/C&gt;&lt;D xsi:type="xsd:double"&gt;834.894038772583&lt;/D&gt;&lt;/FQL&gt;&lt;FQL&gt;&lt;Q&gt;VIE-FR^FF_EBITDA_OPER(ANN_R,0Y,,,,USD)&lt;/Q&gt;&lt;R&gt;1&lt;/R&gt;&lt;C&gt;1&lt;/C&gt;&lt;D xsi:type="xsd:double"&gt;6482.36916&lt;/D&gt;&lt;/FQL&gt;&lt;FQL&gt;&lt;Q&gt;VIE-FR^FF_EBITDA_OPER(ANN_R,-1AY,,,,USD)&lt;/Q&gt;&lt;R&gt;1&lt;/R&gt;&lt;C&gt;1&lt;/C&gt;&lt;D xsi:type="xsd:double"&gt;6283.46046&lt;/D&gt;&lt;/FQL&gt;&lt;FQL&gt;&lt;Q&gt;VIE-FR^FF_SALES(ANN_R,0Y,,,,USD)&lt;/Q&gt;&lt;R&gt;1&lt;/R&gt;&lt;C&gt;1&lt;/C&gt;&lt;D xsi:type="xsd:double"&gt;49029.6737319231&lt;/D&gt;&lt;/FQL&gt;&lt;FQL&gt;&lt;Q&gt;VIE-FR^FF_SALES(ANN_R,-1AY,,,,USD)&lt;/Q&gt;&lt;R&gt;1&lt;/R&gt;&lt;C&gt;1&lt;/C&gt;&lt;D xsi:type="xsd:double"&gt;45071.3511089802&lt;/D&gt;&lt;/FQL&gt;&lt;FQL&gt;&lt;Q&gt;VIE-FR^FF_SALES(ANN_R,-2AY,,,,USD)&lt;/Q&gt;&lt;R&gt;1&lt;/R&gt;&lt;C&gt;1&lt;/C&gt;&lt;D xsi:type="xsd:double"&gt;33696.0316202044&lt;/D&gt;&lt;/FQL&gt;&lt;FQL&gt;&lt;Q&gt;PNR-US^FF_NET_INC(ANN_R,0Y,,,,USD)&lt;/Q&gt;&lt;R&gt;1&lt;/R&gt;&lt;C&gt;1&lt;/C&gt;&lt;D xsi:type="xsd:double"&gt;622.9&lt;/D&gt;&lt;/FQL&gt;&lt;FQL&gt;&lt;Q&gt;PNR-US^FF_NET_INC(ANN_R,-1AY,,,,USD)&lt;/Q&gt;&lt;R&gt;1&lt;/R&gt;&lt;C&gt;1&lt;/C&gt;&lt;D xsi:type="xsd:double"&gt;483.2&lt;/D&gt;&lt;/FQL&gt;&lt;FQL&gt;&lt;Q&gt;PNR-US^FF_EBITDA_OPER(ANN_R,0Y,,,,USD)&lt;/Q&gt;&lt;R&gt;1&lt;/R&gt;&lt;C&gt;1&lt;/C&gt;&lt;D xsi:type="xsd:double"&gt;904.7&lt;/D&gt;&lt;/FQL&gt;&lt;FQL&gt;&lt;Q&gt;PNR-US^FF_EBITDA_OPER(ANN_R,-1AY,,,,USD)&lt;/Q&gt;&lt;R&gt;1&lt;/R&gt;&lt;C&gt;1&lt;/C&gt;&lt;D xsi:type="xsd:double"&gt;785.4&lt;/D&gt;&lt;/FQL&gt;&lt;FQL&gt;&lt;Q&gt;PNR-US^FF_SALES(ANN_R,0Y,,,,USD)&lt;/Q&gt;&lt;R&gt;1&lt;/R&gt;&lt;C&gt;1&lt;/C&gt;&lt;D xsi:type="xsd:double"&gt;4104.5&lt;/D&gt;&lt;/FQL&gt;&lt;FQL&gt;&lt;Q&gt;PNR-US^FF_SALES(ANN_R,-1AY,,,,USD)&lt;/Q&gt;&lt;R&gt;1&lt;/R&gt;&lt;C&gt;1&lt;/C&gt;&lt;D xsi:type="xsd:double"&gt;4121.8&lt;/D&gt;&lt;/FQL&gt;&lt;FQL&gt;&lt;Q&gt;PNR-US^FF_SALES(ANN_R,-2AY,,,,USD)&lt;/Q&gt;&lt;R&gt;1&lt;/R&gt;&lt;C&gt;1&lt;/C&gt;&lt;D xsi:type="xsd:double"&gt;3764.8&lt;/D&gt;&lt;/FQL&gt;&lt;FQL&gt;&lt;Q&gt;STE-US^FF_NET_INC(ANN_R,0Y,,,,USD)&lt;/Q&gt;&lt;R&gt;1&lt;/R&gt;&lt;C&gt;1&lt;/C&gt;&lt;D xsi:type="xsd:double"&gt;551.44&lt;/D&gt;&lt;/FQL&gt;&lt;FQL&gt;&lt;Q&gt;STE-US^FF_NET_INC(ANN_R,-1AY,,,,USD)&lt;/Q&gt;&lt;R&gt;1&lt;/R&gt;&lt;C&gt;1&lt;/C&gt;&lt;D xsi:type="xsd:double"&gt;557.414&lt;/D&gt;&lt;/FQL&gt;&lt;FQL&gt;&lt;Q&gt;STE-US^FF_EBITDA_OPER(ANN_R,0Y,,,,USD)&lt;/Q&gt;&lt;R&gt;1&lt;/R&gt;&lt;C&gt;1&lt;/C&gt;&lt;D xsi:type="xsd:double"&gt;1473.085&lt;/D&gt;&lt;/FQL&gt;&lt;FQL&gt;&lt;Q&gt;STE-US^FF_EBITDA_OPER(ANN_R,-1AY,,,,USD)&lt;/Q&gt;&lt;R&gt;1&lt;/R&gt;&lt;C&gt;1&lt;/C&gt;&lt;D xsi:type="xsd:double"&gt;1364.057&lt;/D&gt;&lt;/FQL&gt;&lt;FQL&gt;&lt;Q&gt;STE-US^FF_SALES(ANN_R,0Y,,,,USD)&lt;/Q&gt;&lt;R&gt;1&lt;/R&gt;&lt;C&gt;1&lt;/C&gt;&lt;D xsi:type="xsd:double"&gt;5138.701&lt;/D&gt;&lt;/FQL&gt;&lt;FQL&gt;&lt;Q&gt;STE-US^FF_SALES(ANN_R,-1AY,,,,USD)&lt;/Q&gt;&lt;R&gt;1&lt;/R&gt;&lt;C&gt;1&lt;/C&gt;&lt;D xsi:type="xsd:double"&gt;4536.266&lt;/D&gt;&lt;/FQL&gt;&lt;FQL&gt;&lt;Q&gt;STE-US^FF_SALES(ANN_R,-2AY,,,,USD)&lt;/Q&gt;&lt;R&gt;1&lt;/R&gt;&lt;C&gt;1&lt;/C&gt;&lt;D xsi:type="xsd:double"&gt;4585.064&lt;/D&gt;&lt;/FQL&gt;&lt;FQL&gt;&lt;Q&gt;CLX-US^FF_NET_INC(ANN_R,0Y,,,,USD)&lt;/Q&gt;&lt;R&gt;1&lt;/R&gt;&lt;C&gt;1&lt;/C&gt;&lt;D xsi:type="xsd:double"&gt;280&lt;/D&gt;&lt;/FQL&gt;&lt;FQL&gt;&lt;Q&gt;CLX-US^FF_NET_INC(ANN_R,-1AY,,,,USD)&lt;/Q&gt;&lt;R&gt;1&lt;/R&gt;&lt;C&gt;1&lt;/C&gt;&lt;D xsi:type="xsd:double"&gt;149&lt;/D&gt;&lt;/FQL&gt;&lt;FQL&gt;&lt;Q&gt;CLX-US^FF_EBITDA_OPER(ANN_R,0Y,,,,USD)&lt;/Q&gt;&lt;R&gt;1&lt;/R&gt;&lt;C&gt;1&lt;/C&gt;&lt;D xsi:type="xsd:double"&gt;1151&lt;/D&gt;&lt;/FQL&gt;&lt;FQL&gt;&lt;Q&gt;CLX-US^FF_EBITDA_OPER(ANN_R,-1AY,,,,USD)&lt;/Q&gt;&lt;R&gt;1&lt;/R&gt;&lt;C&gt;1&lt;/C&gt;&lt;D xsi:type="xsd:double"&gt;1063&lt;/D&gt;&lt;/FQL&gt;&lt;FQL&gt;&lt;Q&gt;CLX-US^FF_SALES(ANN_R,0Y,,,,USD)&lt;/Q&gt;&lt;R&gt;1&lt;/R&gt;&lt;C&gt;1&lt;/C&gt;&lt;D xsi:type="xsd:double"&gt;7093&lt;/D&gt;&lt;/FQL&gt;&lt;FQL&gt;&lt;Q&gt;CLX-US^FF_SALES(ANN_R,-1AY,,,,USD)&lt;/Q&gt;&lt;R&gt;1&lt;/R&gt;&lt;C&gt;1&lt;/C&gt;&lt;D xsi:type="xsd:double"&gt;7389&lt;/D&gt;&lt;/FQL&gt;&lt;FQL&gt;&lt;Q&gt;CLX-US^FF_SALES(ANN_R,-2AY,,,,USD)&lt;/Q&gt;&lt;R&gt;1&lt;/R&gt;&lt;C&gt;1&lt;/C&gt;&lt;D xsi:type="xsd:double"&gt;7107&lt;/D&gt;&lt;/FQL&gt;&lt;FQL&gt;&lt;Q&gt;DOV-US^FF_NET_INC(ANN_R,0Y,,,,USD)&lt;/Q&gt;&lt;R&gt;1&lt;/R&gt;&lt;C&gt;1&lt;/C&gt;&lt;D xsi:type="xsd:double"&gt;1056.828&lt;/D&gt;&lt;/FQL&gt;&lt;FQL&gt;&lt;Q&gt;DOV-US^FF_NET_INC(ANN_R,-1AY,,,,USD)&lt;/Q&gt;&lt;R&gt;1&lt;/R&gt;&lt;C&gt;1&lt;/C&gt;&lt;D xsi:type="xsd:double"&gt;1065.376&lt;/D&gt;&lt;/FQL&gt;&lt;FQL&gt;&lt;Q&gt;DOV-US^FF_EBITDA_OPER(ANN_R,0Y,,,,USD)&lt;/Q&gt;&lt;R&gt;1&lt;/R&gt;&lt;C&gt;1&lt;/C&gt;&lt;D xsi:type="xsd:double"&gt;1747.479&lt;/D&gt;&lt;/FQL&gt;&lt;FQL&gt;&lt;Q&gt;DOV-US^FF_EBITDA_OPER(ANN_R,-1AY,,,,USD)&lt;/Q&gt;&lt;R&gt;1&lt;/R&gt;&lt;C&gt;1&lt;/C&gt;&lt;D xsi:type="xsd:double"&gt;1725.858&lt;/D&gt;&lt;/FQL&gt;&lt;FQL&gt;&lt;Q&gt;DOV-US^FF_SALES(ANN_R,0Y,,,,USD)&lt;/Q&gt;&lt;R&gt;1&lt;/R&gt;&lt;C&gt;1&lt;/C&gt;&lt;D xsi:type="xsd:double"&gt;8438.134&lt;/D&gt;&lt;/FQL&gt;&lt;FQL&gt;&lt;Q&gt;DOV-US^FF_SALES(ANN_R,-1AY,,,,USD)&lt;/Q&gt;&lt;R&gt;1&lt;/R&gt;&lt;C&gt;1&lt;/C&gt;&lt;D xsi:type="xsd:double"&gt;8508.088&lt;/D&gt;&lt;/FQL&gt;&lt;FQL&gt;&lt;Q&gt;DOV-US^FF_SALES(ANN_R,-2AY,,,,USD)&lt;/Q&gt;&lt;R&gt;1&lt;/R&gt;&lt;C&gt;1&lt;/C&gt;&lt;D xsi:type="xsd:double"&gt;7907.081&lt;/D&gt;&lt;/FQL&gt;&lt;FQL&gt;&lt;Q&gt;XYL-US^FF_NET_INC(ANN_R,0Y,,,,USD)&lt;/Q&gt;&lt;R&gt;1&lt;/R&gt;&lt;C&gt;1&lt;/C&gt;&lt;D xsi:type="xsd:double"&gt;609&lt;/D&gt;&lt;/FQL&gt;&lt;FQL&gt;&lt;Q&gt;XYL-US^FF_NET_INC(ANN_R,-1AY,,,,USD)&lt;/Q&gt;&lt;R&gt;1&lt;/R&gt;&lt;C&gt;1&lt;/C&gt;&lt;D xsi:type="xsd:double"&gt;355&lt;/D&gt;&lt;/FQL&gt;&lt;FQL&gt;&lt;Q&gt;XYL-US^FF_EBITDA_OPER(ANN_R,0Y,,,,USD)&lt;/Q&gt;&lt;R&gt;1&lt;/R&gt;&lt;C&gt;1&lt;/C&gt;&lt;D xsi:type="xsd:double"&gt;1171&lt;/D&gt;&lt;/FQL&gt;&lt;FQL&gt;&lt;Q&gt;XYL-US^FF_EBITDA_OPER(ANN_R,-1AY,,,,USD)&lt;/Q&gt;&lt;R&gt;1&lt;/R&gt;&lt;C&gt;1&lt;/C&gt;&lt;D xsi:type="xsd:double"&gt;901&lt;/D&gt;&lt;/FQL&gt;&lt;FQL&gt;&lt;Q&gt;XYL-US^FF_SALES(ANN_R,0Y,,,,USD)&lt;/Q&gt;&lt;R&gt;1&lt;/R&gt;&lt;C&gt;1&lt;/C&gt;&lt;D xsi:type="xsd:double"&gt;7367&lt;/D&gt;&lt;/FQL&gt;&lt;FQL&gt;&lt;Q&gt;XYL-US^FF_SALES(ANN_R,-1AY,,,,USD)&lt;/Q&gt;&lt;R&gt;1&lt;/R&gt;&lt;C&gt;1&lt;/C&gt;&lt;D xsi:type="xsd:double"&gt;5541&lt;/D&gt;&lt;/FQL&gt;&lt;FQL&gt;&lt;Q&gt;XYL-US^FF_SALES(ANN_R,-2AY,,,,USD)&lt;/Q&gt;&lt;R&gt;1&lt;/R&gt;&lt;C&gt;1&lt;/C&gt;&lt;D xsi:type="xsd:double"&gt;5199&lt;/D&gt;&lt;/FQL&gt;&lt;FQL&gt;&lt;Q&gt;DD-US^FF_NET_INC(ANN_R,0Y,,,,USD)&lt;/Q&gt;&lt;R&gt;1&lt;/R&gt;&lt;C&gt;1&lt;/C&gt;&lt;D xsi:type="xsd:double"&gt;494&lt;/D&gt;&lt;/FQL&gt;&lt;FQL&gt;&lt;Q&gt;DD-US^FF_NET_INC(ANN_R,-1AY,,,,USD)&lt;/Q&gt;&lt;R&gt;1&lt;/R&gt;&lt;C&gt;1&lt;/C&gt;&lt;D xsi:type="xsd:double"&gt;1012&lt;/D&gt;&lt;/FQL&gt;&lt;FQL&gt;&lt;Q&gt;DD-US^FF_EBITDA_OPER(ANN_R,0Y,,,,USD)&lt;/Q&gt;&lt;R&gt;1&lt;/R&gt;&lt;C&gt;1&lt;/C&gt;&lt;D xsi:type="xsd:double"&gt;2864&lt;/D&gt;&lt;/FQL&gt;&lt;FQL&gt;&lt;Q&gt;DD-US^FF_EBITDA_OPER(ANN_R,-1AY,,,,USD)&lt;/Q&gt;&lt;R&gt;1&lt;/R&gt;&lt;C&gt;1&lt;/C&gt;&lt;D xsi:type="xsd:double"&gt;3157&lt;/D&gt;&lt;/FQL&gt;&lt;FQL&gt;&lt;Q&gt;DD-US^FF_SALES(ANN_R,0Y,,,,USD)&lt;/Q&gt;&lt;R&gt;1&lt;/R&gt;&lt;C&gt;1&lt;/C&gt;&lt;D xsi:type="xsd:double"&gt;12068&lt;/D&gt;&lt;/FQL&gt;&lt;FQL&gt;&lt;Q&gt;DD-US^FF_SALES(ANN_R,-1AY,,,,USD)&lt;/Q&gt;&lt;R&gt;1&lt;/R&gt;&lt;C&gt;1&lt;/C&gt;&lt;D xsi:type="xsd:double"&gt;13017&lt;/D&gt;&lt;/FQL&gt;&lt;FQL&gt;&lt;Q&gt;DD-US^FF_SALES(ANN_R,-2AY,,,,USD)&lt;/Q&gt;&lt;R&gt;1&lt;/R&gt;&lt;C&gt;1&lt;/C&gt;&lt;D xsi:type="xsd:double"&gt;12566&lt;/D&gt;&lt;/FQL&gt;&lt;FQL&gt;&lt;Q&gt;ECL-US^FF_NET_INC(ANN_R,0Y,,,,USD)&lt;/Q&gt;&lt;R&gt;1&lt;/R&gt;&lt;C&gt;1&lt;/C&gt;&lt;D xsi:type="xsd:double"&gt;1372.3&lt;/D&gt;&lt;/FQL&gt;&lt;FQL&gt;&lt;Q&gt;ECL-US^FF_NET_INC(ANN_R,-1AY,,,,USD)&lt;/Q&gt;&lt;R&gt;1&lt;/R&gt;&lt;C&gt;1&lt;/C&gt;&lt;D xsi:type="xsd:double"&gt;1091.7&lt;/D&gt;&lt;/FQL&gt;&lt;FQL&gt;&lt;Q&gt;ECL-US^FF_EBITDA_OPER(ANN_R,0Y,,,,USD)&lt;/Q&gt;&lt;R&gt;1&lt;/R&gt;&lt;C&gt;1&lt;/C&gt;&lt;D xsi:type="xsd:double"&gt;3084.3&lt;/D&gt;&lt;/FQL&gt;&lt;FQL&gt;&lt;Q&gt;ECL-US^FF_EBITDA_OPER(ANN_R,-1AY,,,,USD)&lt;/Q&gt;&lt;R&gt;1&lt;/R&gt;&lt;C&gt;1&lt;/C&gt;&lt;D xsi:type="xsd:double"&gt;2548.2&lt;/D&gt;&lt;/FQL&gt;&lt;FQL&gt;&lt;Q&gt;ECL-US^FF_SALES(ANN_R,0Y,,,,USD)&lt;/Q&gt;&lt;R&gt;1&lt;/R&gt;&lt;C&gt;1&lt;/C&gt;&lt;D xsi:type="xsd:double"&gt;15320.2&lt;/D&gt;&lt;/FQL&gt;&lt;FQL&gt;&lt;Q&gt;ECL-US^FF_SALES(ANN_R,-1AY,,,,USD)&lt;/Q&gt;&lt;R&gt;1&lt;/R&gt;&lt;C&gt;1&lt;/C&gt;&lt;D xsi:type="xsd:double"&gt;14187.8&lt;/D&gt;&lt;/FQL&gt;&lt;FQL&gt;&lt;Q&gt;ECL-US^FF_SALES(ANN_R,-2AY,,,,USD)&lt;/Q&gt;&lt;R&gt;1&lt;/R&gt;&lt;C&gt;1&lt;/C&gt;&lt;D xsi:type="xsd:double"&gt;12733.1&lt;/D&gt;&lt;/FQL&gt;&lt;FQL&gt;&lt;Q&gt;ECL-US^FF_EPS(ANN_R,NOW,,,,USD)&lt;/Q&gt;&lt;R&gt;1&lt;/R&gt;&lt;C&gt;1&lt;/C&gt;&lt;D xsi:type="xsd:double"&gt;4.7899&lt;/D&gt;&lt;/FQL&gt;&lt;FQL&gt;&lt;Q&gt;KEMIRA-FI^FF_DEBT(QTR_R,0)&lt;/Q&gt;&lt;R&gt;1&lt;/R&gt;&lt;C&gt;1&lt;/C&gt;&lt;D xsi:type="xsd:double"&gt;753.1&lt;/D&gt;&lt;/FQL&gt;&lt;FQL&gt;&lt;Q&gt;KEMIRA-FI^FF_CASH_ST(QTR_R,0)&lt;/Q&gt;&lt;R&gt;1&lt;/R&gt;&lt;C&gt;1&lt;/C&gt;&lt;D xsi:type="xsd:double"&gt;384.6&lt;/D&gt;&lt;/FQL&gt;&lt;FQL&gt;&lt;Q&gt;VIE-FR^FF_DEBT(QTR_R,0)&lt;/Q&gt;&lt;R&gt;0&lt;/R&gt;&lt;C&gt;0&lt;/C&gt;&lt;/FQL&gt;&lt;FQL&gt;&lt;Q&gt;VIE-FR^FF_CASH_ST(QTR_R,0)&lt;/Q&gt;&lt;R&gt;0&lt;/R&gt;&lt;C&gt;0&lt;/C&gt;&lt;/FQL&gt;&lt;FQL&gt;&lt;Q&gt;PNR-US^FF_DEBT(QTR_R,0)&lt;/Q&gt;&lt;R&gt;1&lt;/R&gt;&lt;C&gt;1&lt;/C&gt;&lt;D xsi:type="xsd:double"&gt;1885.4&lt;/D&gt;&lt;/FQL&gt;&lt;FQL&gt;&lt;Q&gt;PNR-US^FF_CASH_ST(QTR_R,0)&lt;/Q&gt;&lt;R&gt;1&lt;/R&gt;&lt;C&gt;1&lt;/C&gt;&lt;D xsi:type="xsd:double"&gt;214.3&lt;/D&gt;&lt;/FQL&gt;&lt;FQL&gt;&lt;Q&gt;STE-US^FF_DEBT(QTR_R,0)&lt;/Q&gt;&lt;R&gt;1&lt;/R&gt;&lt;C&gt;1&lt;/C&gt;&lt;D xsi:type="xsd:double"&gt;2484.668&lt;/D&gt;&lt;/FQL&gt;&lt;FQL&gt;&lt;Q&gt;STE-US^FF_CASH_ST(QTR_R,0)&lt;/Q&gt;&lt;R&gt;1&lt;/R&gt;&lt;C&gt;1&lt;/C&gt;&lt;D xsi:type="xsd:double"&gt;198.328&lt;/D&gt;&lt;/FQL&gt;&lt;FQL&gt;&lt;Q&gt;CLX-US^FF_DEBT(QTR_R,0)&lt;/Q&gt;&lt;R&gt;1&lt;/R&gt;&lt;C&gt;1&lt;/C&gt;&lt;D xsi:type="xsd:double"&gt;3447&lt;/D&gt;&lt;/FQL&gt;&lt;FQL&gt;&lt;Q&gt;CLX-US^FF_CASH_ST(QTR_R,0)&lt;/Q&gt;&lt;R&gt;1&lt;/R&gt;&lt;C&gt;1&lt;/C&gt;&lt;D xsi:type="xsd:double"&gt;202&lt;/D&gt;&lt;/FQL&gt;&lt;FQL&gt;&lt;Q&gt;DOV-US^FF_DEBT(QTR_R,0)&lt;/Q&gt;&lt;R&gt;1&lt;/R&gt;&lt;C&gt;1&lt;/C&gt;&lt;D xsi:type="xsd:double"&gt;3171.385&lt;/D&gt;&lt;/FQL&gt;&lt;FQL&gt;&lt;Q&gt;DOV-US^FF_CASH_ST(QTR_R,0)&lt;/Q&gt;&lt;R&gt;1&lt;/R&gt;&lt;C&gt;1&lt;/C&gt;&lt;D xsi:type="xsd:double"&gt;328.752&lt;/D&gt;&lt;/FQL&gt;&lt;FQL&gt;&lt;Q&gt;XYL-US^FF_DEBT(QTR_R,0)&lt;/Q&gt;&lt;R&gt;1&lt;/R&gt;&lt;C&gt;1&lt;/C&gt;&lt;D xsi:type="xsd:double"&gt;2104&lt;/D&gt;&lt;/FQL&gt;&lt;FQL&gt;&lt;Q&gt;XYL-US^FF_CASH_ST(QTR_R,0)&lt;/Q&gt;&lt;R&gt;1&lt;/R&gt;&lt;C&gt;1&lt;/C&gt;&lt;D xsi:type="xsd:double"&gt;815&lt;/D&gt;&lt;/FQL&gt;&lt;FQL&gt;&lt;Q&gt;DD-US^FF_DEBT(QTR_R,0)&lt;/Q&gt;&lt;R&gt;1&lt;/R&gt;&lt;C&gt;1&lt;/C&gt;&lt;D xsi:type="xsd:double"&gt;7617&lt;/D&gt;&lt;/FQL&gt;&lt;FQL&gt;&lt;Q&gt;DD-US^FF_CASH_ST(QTR_R,0)&lt;/Q&gt;&lt;R&gt;1&lt;/R&gt;&lt;C&gt;1&lt;/C&gt;&lt;D xsi:type="xsd:double"&gt;1509&lt;/D&gt;&lt;/FQL&gt;&lt;FQL&gt;&lt;Q&gt;KEMIRA-FI^FCS_SHARES(TOT,SHS,ANN,0,,,,,M)&lt;/Q&gt;&lt;R&gt;1&lt;/R&gt;&lt;C&gt;1&lt;/C&gt;&lt;D xsi:type="xsd:double"&gt;154.068304&lt;/D&gt;&lt;/FQL&gt;&lt;FQL&gt;&lt;Q&gt;KEMIRA-FI^FG_PRICE(0,,,USD)&lt;/Q&gt;&lt;R&gt;1&lt;/R&gt;&lt;C&gt;1&lt;/C&gt;&lt;D xsi:type="xsd:double"&gt;22.905245&lt;/D&gt;&lt;/FQL&gt;&lt;FQL&gt;&lt;Q&gt;KEMIRA-FI^FG_COMPANY_NAME&lt;/Q&gt;&lt;R&gt;1&lt;/R&gt;&lt;C&gt;1&lt;/C&gt;&lt;D xsi:type="xsd:string"&gt;Kemira Oyj&lt;/D&gt;&lt;/FQL&gt;&lt;FQL&gt;&lt;Q&gt;VIE-FR^FCS_SHARES(TOT,SHS,ANN,0,,,,,M)&lt;/Q&gt;&lt;R&gt;1&lt;/R&gt;&lt;C&gt;1&lt;/C&gt;&lt;D xsi:type="xsd:double"&gt;718.534518&lt;/D&gt;&lt;/FQL&gt;&lt;FQL&gt;&lt;Q&gt;VIE-FR^FG_PRICE(0,,,USD)&lt;/Q&gt;&lt;R&gt;1&lt;/R&gt;&lt;C&gt;1&lt;/C&gt;&lt;D xsi:type="xsd:double"&gt;31.21444&lt;/D&gt;&lt;/FQL&gt;&lt;FQL&gt;&lt;Q&gt;VIE-FR^FG_COMPANY_NAME&lt;/Q&gt;&lt;R&gt;1&lt;/R&gt;&lt;C&gt;1&lt;/C&gt;&lt;D xsi:type="xsd:string"&gt;Veolia Environnement SA&lt;/D&gt;&lt;/FQL&gt;&lt;FQL&gt;&lt;Q&gt;PNR-US^FCS_SHARES(TOT,SHS,ANN,0,,,,,M)&lt;/Q&gt;&lt;R&gt;1&lt;/R&gt;&lt;C&gt;1&lt;/C&gt;&lt;D xsi:type="xsd:double"&gt;167.208836&lt;/D&gt;&lt;/FQL&gt;&lt;FQL&gt;&lt;Q&gt;PNR-US^FG_PRICE(0,,,USD)&lt;/Q&gt;&lt;R&gt;1&lt;/R&gt;&lt;C&gt;1&lt;/C&gt;&lt;D xsi:type="xsd:double"&gt;84.52&lt;/D&gt;&lt;/FQL&gt;&lt;FQL&gt;&lt;Q&gt;PNR-US^FG_COMPANY_NAME&lt;/Q&gt;&lt;R&gt;1&lt;/R&gt;&lt;C&gt;1&lt;/C&gt;&lt;D xsi:type="xsd:string"&gt;Pentair plc&lt;/D&gt;&lt;/FQL&gt;&lt;FQL&gt;&lt;Q&gt;STE-US^FCS_SHARES(TOT,SHS,ANN,0,,,,,M)&lt;/Q&gt;&lt;R&gt;1&lt;/R&gt;&lt;C&gt;1&lt;/C&gt;&lt;D xsi:type="xsd:double"&gt;99.845627&lt;/D&gt;&lt;/FQL&gt;&lt;FQL&gt;&lt;Q&gt;STE-US^FG_PRICE(0,,,USD)&lt;/Q&gt;&lt;R&gt;1&lt;/R&gt;&lt;C&gt;1&lt;/C&gt;&lt;D xsi:type="xsd:double"&gt;232.34&lt;/D&gt;&lt;/FQL&gt;&lt;FQL&gt;&lt;Q&gt;STE-US^FG_COMPANY_NAME&lt;/Q&gt;&lt;R&gt;1&lt;/R&gt;&lt;C&gt;1&lt;/C&gt;&lt;D xsi:type="xsd:string"&gt;STERIS plc&lt;/D&gt;&lt;/FQL&gt;&lt;FQL&gt;&lt;Q&gt;CLX-US^FCS_SHARES(TOT,SHS,ANN,0,,,,,M)&lt;/Q&gt;&lt;R&gt;1&lt;/R&gt;&lt;C&gt;1&lt;/C&gt;&lt;D xsi:type="xsd:double"&gt;125.532807&lt;/D&gt;&lt;/FQL&gt;&lt;FQL&gt;&lt;Q&gt;CLX-US^FG_PRICE(0,,,USD)&lt;/Q&gt;&lt;R&gt;1&lt;/R&gt;&lt;C&gt;1&lt;/C&gt;&lt;D xsi:type="xsd:double"&gt;145.4&lt;/D&gt;&lt;/FQL&gt;&lt;FQL&gt;&lt;Q&gt;CLX-US^FG_COMPANY_NAME&lt;/Q&gt;&lt;R&gt;1&lt;/R&gt;&lt;C&gt;1&lt;/C&gt;&lt;D xsi:type="xsd:string"&gt;Clorox Company&lt;/D&gt;&lt;/FQL&gt;&lt;FQL&gt;&lt;Q&gt;DOV-US^FCS_SHA</t>
        </r>
      </text>
    </comment>
    <comment ref="A2" authorId="0" shapeId="0" xr:uid="{34640969-7A6B-46A5-947C-70BC245E1D03}">
      <text>
        <r>
          <rPr>
            <b/>
            <sz val="9"/>
            <color indexed="81"/>
            <rFont val="Tahoma"/>
            <family val="2"/>
          </rPr>
          <t>RES(TOT,SHS,ANN,0,,,,,M)&lt;/Q&gt;&lt;R&gt;1&lt;/R&gt;&lt;C&gt;1&lt;/C&gt;&lt;D xsi:type="xsd:double"&gt;140.818815&lt;/D&gt;&lt;/FQL&gt;&lt;FQL&gt;&lt;Q&gt;DOV-US^FG_PRICE(0,,,USD)&lt;/Q&gt;&lt;R&gt;1&lt;/R&gt;&lt;C&gt;1&lt;/C&gt;&lt;D xsi:type="xsd:double"&gt;179.83&lt;/D&gt;&lt;/FQL&gt;&lt;FQL&gt;&lt;Q&gt;DOV-US^FG_COMPANY_NAME&lt;/Q&gt;&lt;R&gt;1&lt;/R&gt;&lt;C&gt;1&lt;/C&gt;&lt;D xsi:type="xsd:string"&gt;Dover Corporation&lt;/D&gt;&lt;/FQL&gt;&lt;FQL&gt;&lt;Q&gt;XYL-US^FCS_SHARES(TOT,SHS,ANN,0,,,,,M)&lt;/Q&gt;&lt;R&gt;1&lt;/R&gt;&lt;C&gt;1&lt;/C&gt;&lt;D xsi:type="xsd:double"&gt;243.672389&lt;/D&gt;&lt;/FQL&gt;&lt;FQL&gt;&lt;Q&gt;XYL-US^FG_PRICE(0,,,USD)&lt;/Q&gt;&lt;R&gt;1&lt;/R&gt;&lt;C&gt;1&lt;/C&gt;&lt;D xsi:type="xsd:double"&gt;132.8&lt;/D&gt;&lt;/FQL&gt;&lt;FQL&gt;&lt;Q&gt;XYL-US^FG_COMPANY_NAME&lt;/Q&gt;&lt;R&gt;1&lt;/R&gt;&lt;C&gt;1&lt;/C&gt;&lt;D xsi:type="xsd:string"&gt;Xylem Inc.&lt;/D&gt;&lt;/FQL&gt;&lt;FQL&gt;&lt;Q&gt;DD-US^FCS_SHARES(TOT,SHS,ANN,0,,,,,M)&lt;/Q&gt;&lt;R&gt;1&lt;/R&gt;&lt;C&gt;1&lt;/C&gt;&lt;D xsi:type="xsd:double"&gt;432.723204&lt;/D&gt;&lt;/FQL&gt;&lt;FQL&gt;&lt;Q&gt;DD-US^FG_PRICE(0,,,USD)&lt;/Q&gt;&lt;R&gt;1&lt;/R&gt;&lt;C&gt;1&lt;/C&gt;&lt;D xsi:type="xsd:double"&gt;80.18&lt;/D&gt;&lt;/FQL&gt;&lt;FQL&gt;&lt;Q&gt;DD-US^FG_COMPANY_NAME&lt;/Q&gt;&lt;R&gt;1&lt;/R&gt;&lt;C&gt;1&lt;/C&gt;&lt;D xsi:type="xsd:string"&gt;DuPont de Nemours, Inc.&lt;/D&gt;&lt;/FQL&gt;&lt;FQL&gt;&lt;Q&gt;ECL-US^FCS_SHARES(TOT,SHS,ANN,0,,,,,M)&lt;/Q&gt;&lt;R&gt;1&lt;/R&gt;&lt;C&gt;1&lt;/C&gt;&lt;D xsi:type="xsd:double"&gt;287.885218&lt;/D&gt;&lt;/FQL&gt;&lt;FQL&gt;&lt;Q&gt;ECL-US^FG_PRICE(0,,,USD)&lt;/Q&gt;&lt;R&gt;1&lt;/R&gt;&lt;C&gt;1&lt;/C&gt;&lt;D xsi:type="xsd:double"&gt;240.66&lt;/D&gt;&lt;/FQL&gt;&lt;FQL&gt;&lt;Q&gt;ECL-US^FG_COMPANY_NAME&lt;/Q&gt;&lt;R&gt;1&lt;/R&gt;&lt;C&gt;1&lt;/C&gt;&lt;D xsi:type="xsd:string"&gt;Ecolab Inc.&lt;/D&gt;&lt;/FQL&gt;&lt;/Schema&gt;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69" authorId="0" shapeId="0" xr:uid="{728EF935-1C5E-4900-B2B1-93ADCD8467BC}">
      <text>
        <r>
          <rPr>
            <b/>
            <sz val="9"/>
            <color rgb="FF000000"/>
            <rFont val="Tahoma"/>
            <family val="2"/>
          </rPr>
          <t>Author:</t>
        </r>
        <r>
          <rPr>
            <sz val="9"/>
            <color rgb="FF000000"/>
            <rFont val="Tahoma"/>
            <family val="2"/>
          </rPr>
          <t xml:space="preserve">
</t>
        </r>
        <r>
          <rPr>
            <sz val="9"/>
            <color rgb="FF000000"/>
            <rFont val="Tahoma"/>
            <family val="2"/>
          </rPr>
          <t>We have 0.58 left to the end of this year</t>
        </r>
      </text>
    </comment>
    <comment ref="J70" authorId="0" shapeId="0" xr:uid="{453D3624-2214-4A15-97AA-9A8A368D2954}">
      <text>
        <r>
          <rPr>
            <b/>
            <sz val="9"/>
            <color rgb="FF000000"/>
            <rFont val="Tahoma"/>
            <family val="2"/>
          </rPr>
          <t>Author:</t>
        </r>
        <r>
          <rPr>
            <sz val="9"/>
            <color rgb="FF000000"/>
            <rFont val="Tahoma"/>
            <family val="2"/>
          </rPr>
          <t xml:space="preserve">
</t>
        </r>
        <r>
          <rPr>
            <sz val="9"/>
            <color rgb="FF000000"/>
            <rFont val="Tahoma"/>
            <family val="2"/>
          </rPr>
          <t>Bankers always say we discount cash flow in the middle of a year, which is simplified the process, and we just assume that we get cash flow in Sep</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<sst xmlns="http://schemas.openxmlformats.org/spreadsheetml/2006/main" count="769" uniqueCount="372">
  <si>
    <t>AUVs</t>
  </si>
  <si>
    <t>millions</t>
  </si>
  <si>
    <t>24%-25%</t>
  </si>
  <si>
    <t>Growth rate</t>
  </si>
  <si>
    <t>2024 Q1</t>
  </si>
  <si>
    <t>resturants in U.S</t>
  </si>
  <si>
    <t>resturants in total</t>
  </si>
  <si>
    <t>resturants oversea</t>
  </si>
  <si>
    <t>2023 FY</t>
  </si>
  <si>
    <t>2023 Q3</t>
  </si>
  <si>
    <t>2023 Q2</t>
  </si>
  <si>
    <t>2023 Q1</t>
  </si>
  <si>
    <t>closed all non-Chipotle restaurants</t>
  </si>
  <si>
    <t>2022 FY</t>
  </si>
  <si>
    <t>2022 Q3</t>
  </si>
  <si>
    <t>2022 Q2</t>
  </si>
  <si>
    <t>2022 Q1</t>
  </si>
  <si>
    <t>2021 FY</t>
  </si>
  <si>
    <t>2021 Q3</t>
  </si>
  <si>
    <t>2021 Q2</t>
  </si>
  <si>
    <t>2021 Q1</t>
  </si>
  <si>
    <t>new openings in U.S.</t>
  </si>
  <si>
    <t>new openings overseas</t>
  </si>
  <si>
    <t>new openings in total</t>
  </si>
  <si>
    <t>2020 FY</t>
  </si>
  <si>
    <t>Growth rate FY</t>
  </si>
  <si>
    <t>Growth rate in total</t>
  </si>
  <si>
    <t>Growth rate in U.S</t>
  </si>
  <si>
    <t>Growth rate overseas</t>
  </si>
  <si>
    <t>average new openings growth rate</t>
  </si>
  <si>
    <t>Gross Margin</t>
  </si>
  <si>
    <t>Comprehensive income</t>
  </si>
  <si>
    <t>Foreign currency translation adjustments</t>
  </si>
  <si>
    <t>Other comprehensive income/(loss), net of income taxes:</t>
  </si>
  <si>
    <t>Diluted</t>
  </si>
  <si>
    <t>Basic</t>
  </si>
  <si>
    <t>Weighted-average common shares outstanding:</t>
  </si>
  <si>
    <t>Earnings per share:</t>
  </si>
  <si>
    <t>Net income</t>
  </si>
  <si>
    <t>Provision for income taxes</t>
  </si>
  <si>
    <t>Income before income taxes</t>
  </si>
  <si>
    <t>Interest and other income, net</t>
  </si>
  <si>
    <t>Income from operations</t>
  </si>
  <si>
    <t>Total operating expenses</t>
  </si>
  <si>
    <t>Impairment, closure costs, and asset disposals</t>
  </si>
  <si>
    <t>Pre-opening costs</t>
  </si>
  <si>
    <t>Depreciation and amortization</t>
  </si>
  <si>
    <t>General and administrative expenses</t>
  </si>
  <si>
    <t>Other operating costs</t>
  </si>
  <si>
    <t>Occupancy</t>
  </si>
  <si>
    <t>Labor</t>
  </si>
  <si>
    <t>Food, beverage and packaging</t>
  </si>
  <si>
    <t>Restaurant operating costs (exclusive of depreciation and amortization shown separately below):</t>
  </si>
  <si>
    <t>Total revenue</t>
  </si>
  <si>
    <t>Delivery service revenue</t>
  </si>
  <si>
    <t>Food and beverage revenue</t>
  </si>
  <si>
    <t>Year ended December 31,</t>
  </si>
  <si>
    <t>Acquisition of treasury stock accrued in accounts payable and accrued liabilities</t>
  </si>
  <si>
    <t>Purchases of leasehold improvements, property and equipment accrued in accounts payable and accrued liabilities</t>
  </si>
  <si>
    <t>Income taxes paid (refunded)</t>
  </si>
  <si>
    <t>Supplemental disclosures of cash flow information</t>
  </si>
  <si>
    <t>Cash, cash equivalents, and restricted cash at end of year</t>
  </si>
  <si>
    <t>Cash, cash equivalents, and restricted cash at beginning of year</t>
  </si>
  <si>
    <t>Net change in cash, cash equivalents, and restricted cash</t>
  </si>
  <si>
    <t>Effect of exchange rate changes on cash, cash equivalents and restricted cash</t>
  </si>
  <si>
    <t>Net cash used in financing activities</t>
  </si>
  <si>
    <t>Other financing activities</t>
  </si>
  <si>
    <t>Tax withholding on stock-based compensation awards</t>
  </si>
  <si>
    <t>Acquisition of treasury stock</t>
  </si>
  <si>
    <t>Financing activities</t>
  </si>
  <si>
    <t>Net cash used in investing activities</t>
  </si>
  <si>
    <t>-</t>
  </si>
  <si>
    <t>Proceeds from sale of equipment</t>
  </si>
  <si>
    <t>Maturities of investments</t>
  </si>
  <si>
    <t>Purchases of investments</t>
  </si>
  <si>
    <t>Purchases of leasehold improvements, property and equipment</t>
  </si>
  <si>
    <t>Investing activities</t>
  </si>
  <si>
    <t>Net cash provided by operating activities</t>
  </si>
  <si>
    <t>Other long-term liabilities</t>
  </si>
  <si>
    <t>Operating lease liabilities</t>
  </si>
  <si>
    <t>Income tax payable/receivable</t>
  </si>
  <si>
    <t>Unearned revenue</t>
  </si>
  <si>
    <t>Accrued liabilities</t>
  </si>
  <si>
    <t>Accrued payroll and benefits</t>
  </si>
  <si>
    <t>Accounts payable</t>
  </si>
  <si>
    <t>Other assets</t>
  </si>
  <si>
    <t>Operating lease assets</t>
  </si>
  <si>
    <t>Prepaid expenses and other current assets</t>
  </si>
  <si>
    <t>Inventory</t>
  </si>
  <si>
    <t>Accounts receivable</t>
  </si>
  <si>
    <t>Changes in operating assets and liabilities:</t>
  </si>
  <si>
    <t>Other</t>
  </si>
  <si>
    <t>Stock-based compensation expense</t>
  </si>
  <si>
    <t>Provision for credit losses</t>
  </si>
  <si>
    <t>Deferred income tax provision</t>
  </si>
  <si>
    <t>Adjustments to reconcile net income to net cash provided by operating activities:</t>
  </si>
  <si>
    <t>Operating activities</t>
  </si>
  <si>
    <t>Total restaurants at end of period</t>
  </si>
  <si>
    <t>Non-Chipotle permanent closures</t>
  </si>
  <si>
    <t>Chipotle relocations</t>
  </si>
  <si>
    <t>Chipotle permanent closures</t>
  </si>
  <si>
    <t>Non-Chipotle openings</t>
  </si>
  <si>
    <t>Chipotle openings</t>
  </si>
  <si>
    <t>Beginning of period</t>
  </si>
  <si>
    <t>Restaurant Activity</t>
  </si>
  <si>
    <t>$-</t>
  </si>
  <si>
    <t>Acquisitions of equity method investments</t>
  </si>
  <si>
    <t>There is a difference cuz I did not include the relocation and closed stores</t>
  </si>
  <si>
    <t>Announced new openings in FY 24</t>
  </si>
  <si>
    <t>YOY %</t>
  </si>
  <si>
    <t>rational result if you check historical data above</t>
  </si>
  <si>
    <t>'23</t>
  </si>
  <si>
    <t>'22</t>
  </si>
  <si>
    <t>23</t>
  </si>
  <si>
    <t>22</t>
  </si>
  <si>
    <t>21</t>
  </si>
  <si>
    <t>Debt</t>
  </si>
  <si>
    <t>Cash</t>
  </si>
  <si>
    <t>Value</t>
  </si>
  <si>
    <t>Cap</t>
  </si>
  <si>
    <t>Count</t>
  </si>
  <si>
    <t>Price</t>
  </si>
  <si>
    <t>Company Name</t>
  </si>
  <si>
    <t>Ticker</t>
  </si>
  <si>
    <t>Net Income</t>
  </si>
  <si>
    <t>EBITDA</t>
  </si>
  <si>
    <t>Revenue</t>
  </si>
  <si>
    <t>Enterprise</t>
  </si>
  <si>
    <t>Market</t>
  </si>
  <si>
    <t>Share</t>
  </si>
  <si>
    <t>Current</t>
  </si>
  <si>
    <t>DATABASE</t>
  </si>
  <si>
    <t>--</t>
  </si>
  <si>
    <t>Maximum</t>
  </si>
  <si>
    <t>Median</t>
  </si>
  <si>
    <t>Mean</t>
  </si>
  <si>
    <t>Minimum</t>
  </si>
  <si>
    <t>Shares</t>
  </si>
  <si>
    <t>EPS</t>
  </si>
  <si>
    <t>P/E</t>
  </si>
  <si>
    <t>Calculating Implied Share Price</t>
  </si>
  <si>
    <t>Implied Share Price</t>
  </si>
  <si>
    <t>Equity Value</t>
  </si>
  <si>
    <t>Enterprise Value</t>
  </si>
  <si>
    <t>2023 Financial Metric</t>
  </si>
  <si>
    <t>2023 Trading Multiple</t>
  </si>
  <si>
    <t>'22-'23</t>
  </si>
  <si>
    <t>'21-'22</t>
  </si>
  <si>
    <t>P / E</t>
  </si>
  <si>
    <t>EV / EBITDA</t>
  </si>
  <si>
    <t>EV / Revenue</t>
  </si>
  <si>
    <t>Profit Margin</t>
  </si>
  <si>
    <t>EBITDA Margin</t>
  </si>
  <si>
    <t>Revenue Growth</t>
  </si>
  <si>
    <t>Trading Multiples</t>
  </si>
  <si>
    <t>USD</t>
  </si>
  <si>
    <t>Currency</t>
  </si>
  <si>
    <t>Date</t>
  </si>
  <si>
    <t>CMG-US</t>
  </si>
  <si>
    <t>SBUX-US</t>
  </si>
  <si>
    <t>YUM-US</t>
  </si>
  <si>
    <t>MCD-US</t>
  </si>
  <si>
    <t>QSR-US</t>
  </si>
  <si>
    <t>DPZ-US</t>
  </si>
  <si>
    <t>DRI-US</t>
  </si>
  <si>
    <t>WEN-US</t>
  </si>
  <si>
    <t>This sheet contains FactSet XML data for use with this workbook's =FDS codes.  Modifying the worksheet's contents may damage the workbook's =FDS functionality.</t>
  </si>
  <si>
    <t>Total</t>
  </si>
  <si>
    <t>% of total</t>
  </si>
  <si>
    <t>Data gained from earnings calls</t>
  </si>
  <si>
    <t>Data calculated</t>
  </si>
  <si>
    <t>Fiscal year ended December,</t>
  </si>
  <si>
    <t>Q1 19</t>
  </si>
  <si>
    <t>Q2 19</t>
  </si>
  <si>
    <t>Q3 19</t>
  </si>
  <si>
    <t>Q4 19</t>
  </si>
  <si>
    <t>Q1 20</t>
  </si>
  <si>
    <t>Q2 20</t>
  </si>
  <si>
    <t>Q3 20</t>
  </si>
  <si>
    <t>Q4 20</t>
  </si>
  <si>
    <t>Q1 21</t>
  </si>
  <si>
    <t>Q2 21</t>
  </si>
  <si>
    <t>Q3 21</t>
  </si>
  <si>
    <t>Q4 21</t>
  </si>
  <si>
    <t>Q1 22</t>
  </si>
  <si>
    <t>Q2 22</t>
  </si>
  <si>
    <t>Q3 22</t>
  </si>
  <si>
    <t>Q4 22</t>
  </si>
  <si>
    <t>Q1 23</t>
  </si>
  <si>
    <t>Q2 23</t>
  </si>
  <si>
    <t>Q3 23</t>
  </si>
  <si>
    <t>Q4 23</t>
  </si>
  <si>
    <t>Q1 24</t>
  </si>
  <si>
    <t>Q2 24</t>
  </si>
  <si>
    <t>Q3 24</t>
  </si>
  <si>
    <t>Q4 24</t>
  </si>
  <si>
    <t>2024E</t>
  </si>
  <si>
    <t>2025E</t>
  </si>
  <si>
    <t>2026E</t>
  </si>
  <si>
    <t>Period ending</t>
  </si>
  <si>
    <t>Days in period</t>
  </si>
  <si>
    <t>Income Statement</t>
  </si>
  <si>
    <t>CMG  07-18-2024</t>
  </si>
  <si>
    <t>Cash Flow Statement</t>
  </si>
  <si>
    <t xml:space="preserve">YOY Growth </t>
  </si>
  <si>
    <t>Cost of revenues</t>
  </si>
  <si>
    <t>% of Sales</t>
  </si>
  <si>
    <t>Total cost of revenues</t>
  </si>
  <si>
    <t>Gross profit</t>
  </si>
  <si>
    <t xml:space="preserve">Gross Margin </t>
  </si>
  <si>
    <t>Operating expenses</t>
  </si>
  <si>
    <t>Change in Net Working Capital</t>
  </si>
  <si>
    <t>% of Incremental Sales</t>
  </si>
  <si>
    <t>Capex</t>
  </si>
  <si>
    <t xml:space="preserve">Operating Margin </t>
  </si>
  <si>
    <t xml:space="preserve">Net Margin </t>
  </si>
  <si>
    <t>Chipotle is willing to build the most new stores in Q4</t>
  </si>
  <si>
    <t>Numbers of locations in the U.S.</t>
  </si>
  <si>
    <t>penetration rate</t>
  </si>
  <si>
    <t>mainly located in the West and East</t>
  </si>
  <si>
    <t>Total changes</t>
  </si>
  <si>
    <t>%</t>
  </si>
  <si>
    <t>CMG  07-18-2024 $thousands</t>
  </si>
  <si>
    <t>Comps growth rate</t>
  </si>
  <si>
    <t>total store openings</t>
  </si>
  <si>
    <t>% of cost of revenues</t>
  </si>
  <si>
    <t>/ store</t>
  </si>
  <si>
    <t>Total stores</t>
  </si>
  <si>
    <t>Breakdown of Food, beverage and packaging</t>
  </si>
  <si>
    <t>Food</t>
  </si>
  <si>
    <t>Beverage</t>
  </si>
  <si>
    <t>Packaging</t>
  </si>
  <si>
    <t>beef</t>
  </si>
  <si>
    <t>grains</t>
  </si>
  <si>
    <t>Vegetables</t>
  </si>
  <si>
    <t>Paper</t>
  </si>
  <si>
    <t>Plastic</t>
  </si>
  <si>
    <t>Price of Burrito Bowl</t>
  </si>
  <si>
    <t>% margin</t>
  </si>
  <si>
    <t>Cost of Good Sold</t>
  </si>
  <si>
    <t>Gross margin</t>
  </si>
  <si>
    <t>Source: U.S. Bureau of Labor Statistics</t>
  </si>
  <si>
    <t>PPI</t>
  </si>
  <si>
    <t>January</t>
  </si>
  <si>
    <t>May</t>
  </si>
  <si>
    <t>June</t>
  </si>
  <si>
    <t>Average</t>
  </si>
  <si>
    <t>April</t>
  </si>
  <si>
    <t>March</t>
  </si>
  <si>
    <t>February</t>
  </si>
  <si>
    <t>Beef and Veal Products</t>
  </si>
  <si>
    <t>Grains</t>
  </si>
  <si>
    <t>Estimated</t>
  </si>
  <si>
    <t>% growth rate</t>
  </si>
  <si>
    <t>/ store growth rate</t>
  </si>
  <si>
    <t>Total operating expenses (including the COGS)</t>
  </si>
  <si>
    <t>Terminal Growth Rate</t>
  </si>
  <si>
    <t>WACC</t>
  </si>
  <si>
    <t>Cost of Equity</t>
  </si>
  <si>
    <t>Cost of Debt</t>
  </si>
  <si>
    <t>Tax Rate</t>
  </si>
  <si>
    <t>Taxes</t>
  </si>
  <si>
    <t>Terminal Value</t>
  </si>
  <si>
    <t>Current Price</t>
  </si>
  <si>
    <t>Implied equity value/share</t>
  </si>
  <si>
    <t xml:space="preserve">Upside/(Downside) to DCF </t>
  </si>
  <si>
    <t>CMG</t>
  </si>
  <si>
    <t xml:space="preserve"> </t>
  </si>
  <si>
    <t>Current Share Price</t>
  </si>
  <si>
    <t>Year end</t>
  </si>
  <si>
    <t>Implied Gain / (Loss)</t>
  </si>
  <si>
    <t>x</t>
  </si>
  <si>
    <t>Assumptions</t>
  </si>
  <si>
    <t>Switches</t>
  </si>
  <si>
    <t>Conservative</t>
  </si>
  <si>
    <t>Street / Base</t>
  </si>
  <si>
    <t>Optimistic</t>
  </si>
  <si>
    <t xml:space="preserve">Revenue </t>
  </si>
  <si>
    <t>EBIT</t>
  </si>
  <si>
    <t>Revenue 2029</t>
  </si>
  <si>
    <t>TGR</t>
  </si>
  <si>
    <t>Income Statement (12/31 CYE)</t>
  </si>
  <si>
    <t>% growth</t>
  </si>
  <si>
    <t>% of sales</t>
  </si>
  <si>
    <t>Cash Flow Items (12/31 CYE)</t>
  </si>
  <si>
    <t>D&amp;A</t>
  </si>
  <si>
    <t>CapEx</t>
  </si>
  <si>
    <t>Change in NWC</t>
  </si>
  <si>
    <t>DCF</t>
  </si>
  <si>
    <t>Conservative Case</t>
  </si>
  <si>
    <t>Street Case</t>
  </si>
  <si>
    <t>Optimistic Case</t>
  </si>
  <si>
    <t>Tax rate</t>
  </si>
  <si>
    <t>Unlevered FCF</t>
  </si>
  <si>
    <t>Present Value of FCF</t>
  </si>
  <si>
    <t>Period</t>
  </si>
  <si>
    <t>Discount Period</t>
  </si>
  <si>
    <t>Present Value of Terminal Value</t>
  </si>
  <si>
    <t>(+) Cash</t>
  </si>
  <si>
    <t>(-) Debt</t>
  </si>
  <si>
    <t>Diluted Shares</t>
  </si>
  <si>
    <t>Implied Stock Price</t>
  </si>
  <si>
    <t>Street-based consensus</t>
  </si>
  <si>
    <t>In millions</t>
  </si>
  <si>
    <t>NOPAT</t>
  </si>
  <si>
    <t>WACC = % of equity x cost of equity + % of debt x cost of debt x (1 - Tax Rate)</t>
  </si>
  <si>
    <t>Cost of equity = Risk free rate + Beta x Market Risk Premium</t>
  </si>
  <si>
    <t>Market Cap</t>
  </si>
  <si>
    <t>% of Equity</t>
  </si>
  <si>
    <t>Risk Free Rate</t>
  </si>
  <si>
    <t>Beta</t>
  </si>
  <si>
    <t>Market Risk Premium</t>
  </si>
  <si>
    <t>% of Debt</t>
  </si>
  <si>
    <t>% of Operating Income</t>
  </si>
  <si>
    <t>1 year return scenarios</t>
  </si>
  <si>
    <t>Tactical R/R</t>
  </si>
  <si>
    <t>Action</t>
  </si>
  <si>
    <t>12m Target</t>
  </si>
  <si>
    <t>% return</t>
  </si>
  <si>
    <t>Reward</t>
  </si>
  <si>
    <t>Risk</t>
  </si>
  <si>
    <t>R/R</t>
  </si>
  <si>
    <t>% move</t>
  </si>
  <si>
    <t>Street</t>
  </si>
  <si>
    <t>FCF Yield</t>
  </si>
  <si>
    <t>Last Updated</t>
  </si>
  <si>
    <t>Bull</t>
  </si>
  <si>
    <t>Cap Table</t>
  </si>
  <si>
    <t>% yoy</t>
  </si>
  <si>
    <t>Base</t>
  </si>
  <si>
    <t>Bear</t>
  </si>
  <si>
    <t>Total Debt</t>
  </si>
  <si>
    <t>Net Debt</t>
  </si>
  <si>
    <t>Adjusted EPS</t>
  </si>
  <si>
    <t>Trim</t>
  </si>
  <si>
    <t>NCI</t>
  </si>
  <si>
    <t>Street EPS</t>
  </si>
  <si>
    <t>Buy price</t>
  </si>
  <si>
    <t>Expected Delta</t>
  </si>
  <si>
    <t>No-brainer price</t>
  </si>
  <si>
    <t>Normalized FCF</t>
  </si>
  <si>
    <t>EV/Sales</t>
  </si>
  <si>
    <t>FCF / Share</t>
  </si>
  <si>
    <t>EV/EBITDA</t>
  </si>
  <si>
    <t>% yield</t>
  </si>
  <si>
    <t>Street P/E</t>
  </si>
  <si>
    <t>3 Year Target</t>
  </si>
  <si>
    <t>2026 EPS</t>
  </si>
  <si>
    <t>Target P/E</t>
  </si>
  <si>
    <t>BUY</t>
  </si>
  <si>
    <t>x money multiple</t>
  </si>
  <si>
    <t>% IRR</t>
  </si>
  <si>
    <t>12 Months Base Target</t>
  </si>
  <si>
    <t>2024 EPS</t>
  </si>
  <si>
    <t>Add</t>
  </si>
  <si>
    <t>EOY Target Price</t>
  </si>
  <si>
    <t>No brainer</t>
  </si>
  <si>
    <t>12 Months Risk Case</t>
  </si>
  <si>
    <t>2024 Risk EPS</t>
  </si>
  <si>
    <t>Next 12 Months Risk</t>
  </si>
  <si>
    <t>As data presented above, in 2028, the U.S. Fast Food Market is going to reach $121.8 billion dollar, with 4.4% CAGR for 8 years, Chipotle also will reach 11% of total  market share, so rationally Chipotle will achieve 13.4 billion total sales, but based on our estimation, Chipotle can achieve this goal by the end of 2026, because Chipotle's growth is way faster  than the average market growth.</t>
  </si>
  <si>
    <t>Investing Thesis</t>
  </si>
  <si>
    <t xml:space="preserve">1. New stores openings can bring a significant increase on revenues, domestic locations are around 3700, including the overseas stores, has been collaborated with Alshaya Group to achieve its international expansion goal.
2. Automation &amp; new technical innovation, it will lead to a more efficient on operations, so that we can achieve multiple goals of cost savings and increase of throughout, may work with Chipolane to increase the effiency of drive-through.
3. Fantastic CRM initiatives such as Chipotle Rewards &amp; gift cards, these keep bring more and more floating customers and convert into loyal customers. </t>
  </si>
  <si>
    <t>Chipotle Rewards liability</t>
  </si>
  <si>
    <t>22023 FY</t>
  </si>
  <si>
    <t>Gift Card liability</t>
  </si>
  <si>
    <t>In thousands</t>
  </si>
  <si>
    <t>Chipotle DCF</t>
  </si>
  <si>
    <t>% of EBIT</t>
  </si>
  <si>
    <t>‘24</t>
  </si>
  <si>
    <t>’25</t>
  </si>
  <si>
    <t>HOLD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</si>
</sst>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5" formatCode="&quot;$&quot;#,##0_);\(&quot;$&quot;#,##0\)"/>
    <numFmt numFmtId="7" formatCode="&quot;$&quot;#,##0.00_);\(&quot;$&quot;#,##0.00\)"/>
    <numFmt numFmtId="44" formatCode="_(&quot;$&quot;* #,##0.00_);_(&quot;$&quot;* \(#,##0.00\);_(&quot;$&quot;* &quot;-&quot;??_);_(@_)"/>
    <numFmt numFmtId="43" formatCode="_(* #,##0.00_);_(* \(#,##0.00\);_(* &quot;-&quot;??_);_(@_)"/>
    <numFmt numFmtId="164" formatCode="\(#,##0_);[Red]\(#,##0\)"/>
    <numFmt numFmtId="165" formatCode="0.0\x"/>
    <numFmt numFmtId="166" formatCode="0%;\(0%\)"/>
    <numFmt numFmtId="167" formatCode="_([$$-409]* #,##0.00_);_([$$-409]* \(#,##0.00\);_([$$-409]* &quot;-&quot;??_);_(@_)"/>
    <numFmt numFmtId="168" formatCode="m/d/yy;@"/>
    <numFmt numFmtId="169" formatCode="0.0%"/>
    <numFmt numFmtId="170" formatCode="0.000"/>
    <numFmt numFmtId="171" formatCode="#,##0.0_);\(#,##0.0\)"/>
    <numFmt numFmtId="172" formatCode="0.00000%"/>
    <numFmt numFmtId="173" formatCode="_(* #,##0_);_(* \(#,##0\);_(* &quot;-&quot;??_);_(@_)"/>
    <numFmt numFmtId="174" formatCode="&quot;$&quot;#,##0.00"/>
    <numFmt numFmtId="175" formatCode="0&quot;E&quot;"/>
    <numFmt numFmtId="176" formatCode="#,##0.0%_);\(#,##0.0%\)"/>
    <numFmt numFmtId="177" formatCode="0000\E"/>
    <numFmt numFmtId="178" formatCode="0000\A"/>
    <numFmt numFmtId="179" formatCode="#,##0.0\x"/>
    <numFmt numFmtId="180" formatCode="0.0\x_);\(0.0\x\)_)"/>
    <numFmt numFmtId="181" formatCode="#,##0.0%;\(#,##0.0%\);&quot;0.0%&quot;;@"/>
    <numFmt numFmtId="182" formatCode="&quot;$&quot;#,##0.0_);\(&quot;$&quot;#,##0.0\)"/>
    <numFmt numFmtId="183" formatCode="0.0\x;\(0.0\x\);&quot;–&quot;"/>
  </numFmts>
  <fonts count="59" x14ac:knownFonts="1">
    <font>
      <sz val="11"/>
      <color theme="1"/>
      <name val="Calibri"/>
      <family val="2"/>
      <scheme val="minor"/>
    </font>
    <font>
      <sz val="11"/>
      <color theme="1"/>
      <name val="Calibri"/>
      <family val="2"/>
      <scheme val="minor"/>
    </font>
    <font>
      <sz val="10"/>
      <color theme="1"/>
      <name val="Arial"/>
      <family val="2"/>
    </font>
    <font>
      <sz val="11"/>
      <color rgb="FFFF0000"/>
      <name val="Calibri"/>
      <family val="2"/>
      <scheme val="minor"/>
    </font>
    <font>
      <b/>
      <sz val="11"/>
      <color theme="1"/>
      <name val="Calibri"/>
      <family val="2"/>
      <scheme val="minor"/>
    </font>
    <font>
      <sz val="12"/>
      <color theme="1"/>
      <name val="Calibri"/>
      <family val="2"/>
      <scheme val="minor"/>
    </font>
    <font>
      <sz val="12"/>
      <color theme="4"/>
      <name val="Calibri"/>
      <family val="2"/>
      <scheme val="minor"/>
    </font>
    <font>
      <b/>
      <sz val="12"/>
      <color theme="1"/>
      <name val="Calibri"/>
      <family val="2"/>
      <scheme val="minor"/>
    </font>
    <font>
      <b/>
      <u val="singleAccounting"/>
      <sz val="12"/>
      <color theme="1"/>
      <name val="Calibri"/>
      <family val="2"/>
      <scheme val="minor"/>
    </font>
    <font>
      <sz val="12"/>
      <color theme="2"/>
      <name val="Calibri"/>
      <family val="2"/>
      <scheme val="minor"/>
    </font>
    <font>
      <sz val="12"/>
      <color theme="0"/>
      <name val="Calibri"/>
      <family val="2"/>
      <scheme val="minor"/>
    </font>
    <font>
      <b/>
      <sz val="12"/>
      <color theme="0"/>
      <name val="Calibri"/>
      <family val="2"/>
      <scheme val="minor"/>
    </font>
    <font>
      <sz val="12"/>
      <color rgb="FF000000"/>
      <name val="Calibri"/>
      <family val="2"/>
      <scheme val="minor"/>
    </font>
    <font>
      <b/>
      <sz val="12"/>
      <color rgb="FFC00000"/>
      <name val="Calibri"/>
      <family val="2"/>
      <scheme val="minor"/>
    </font>
    <font>
      <b/>
      <sz val="16"/>
      <color theme="1"/>
      <name val="Calibri"/>
      <family val="2"/>
      <scheme val="minor"/>
    </font>
    <font>
      <b/>
      <sz val="11"/>
      <color theme="0"/>
      <name val="Calibri"/>
      <family val="2"/>
      <scheme val="minor"/>
    </font>
    <font>
      <b/>
      <sz val="11"/>
      <color rgb="FF000000"/>
      <name val="Calibri"/>
      <family val="2"/>
      <scheme val="minor"/>
    </font>
    <font>
      <b/>
      <sz val="11"/>
      <color rgb="FF008000"/>
      <name val="Calibri"/>
      <family val="2"/>
      <scheme val="minor"/>
    </font>
    <font>
      <b/>
      <sz val="11"/>
      <color rgb="FF007D00"/>
      <name val="Calibri"/>
      <family val="2"/>
      <scheme val="minor"/>
    </font>
    <font>
      <sz val="11"/>
      <color rgb="FF000000"/>
      <name val="Calibri"/>
      <family val="2"/>
      <scheme val="minor"/>
    </font>
    <font>
      <sz val="11"/>
      <name val="Calibri"/>
      <family val="2"/>
      <scheme val="minor"/>
    </font>
    <font>
      <sz val="11"/>
      <color rgb="FF0000FF"/>
      <name val="Calibri"/>
      <family val="2"/>
      <scheme val="minor"/>
    </font>
    <font>
      <b/>
      <sz val="11"/>
      <color rgb="FF0000FF"/>
      <name val="Calibri"/>
      <family val="2"/>
      <scheme val="minor"/>
    </font>
    <font>
      <sz val="11"/>
      <color theme="0"/>
      <name val="Calibri"/>
      <family val="2"/>
      <scheme val="minor"/>
    </font>
    <font>
      <sz val="11"/>
      <color indexed="8"/>
      <name val="Calibri"/>
      <family val="2"/>
      <scheme val="minor"/>
    </font>
    <font>
      <i/>
      <sz val="11"/>
      <color theme="2" tint="-0.499984740745262"/>
      <name val="Calibri"/>
      <family val="2"/>
      <scheme val="minor"/>
    </font>
    <font>
      <i/>
      <sz val="11"/>
      <color theme="1"/>
      <name val="Calibri"/>
      <family val="2"/>
      <scheme val="minor"/>
    </font>
    <font>
      <b/>
      <i/>
      <sz val="11"/>
      <color theme="8"/>
      <name val="Calibri"/>
      <family val="2"/>
      <scheme val="minor"/>
    </font>
    <font>
      <sz val="10"/>
      <color rgb="FF000000"/>
      <name val="Calibri"/>
      <family val="2"/>
    </font>
    <font>
      <sz val="11"/>
      <color rgb="FF9C0006"/>
      <name val="Calibri"/>
      <family val="2"/>
      <scheme val="minor"/>
    </font>
    <font>
      <b/>
      <sz val="11"/>
      <color rgb="FFFA7D00"/>
      <name val="Calibri"/>
      <family val="2"/>
      <scheme val="minor"/>
    </font>
    <font>
      <b/>
      <i/>
      <sz val="11"/>
      <color theme="4" tint="-0.249977111117893"/>
      <name val="Calibri"/>
      <family val="2"/>
      <scheme val="minor"/>
    </font>
    <font>
      <sz val="11"/>
      <color theme="4" tint="-0.249977111117893"/>
      <name val="Calibri"/>
      <family val="2"/>
      <scheme val="minor"/>
    </font>
    <font>
      <b/>
      <sz val="11"/>
      <color theme="4" tint="-0.249977111117893"/>
      <name val="Calibri"/>
      <family val="2"/>
      <scheme val="minor"/>
    </font>
    <font>
      <u/>
      <sz val="11"/>
      <color theme="10"/>
      <name val="Calibri"/>
      <family val="2"/>
      <scheme val="minor"/>
    </font>
    <font>
      <i/>
      <sz val="11"/>
      <color rgb="FFFF0000"/>
      <name val="Calibri"/>
      <family val="2"/>
      <scheme val="minor"/>
    </font>
    <font>
      <i/>
      <sz val="11"/>
      <color theme="4" tint="-0.249977111117893"/>
      <name val="Calibri"/>
      <family val="2"/>
      <scheme val="minor"/>
    </font>
    <font>
      <sz val="10"/>
      <name val="Arial"/>
      <family val="2"/>
    </font>
    <font>
      <b/>
      <sz val="10"/>
      <color indexed="12"/>
      <name val="Arial"/>
      <family val="2"/>
    </font>
    <font>
      <b/>
      <sz val="10"/>
      <name val="Arial"/>
      <family val="2"/>
    </font>
    <font>
      <b/>
      <sz val="10"/>
      <color rgb="FFFF0000"/>
      <name val="Arial"/>
      <family val="2"/>
    </font>
    <font>
      <b/>
      <u/>
      <sz val="11"/>
      <color theme="1"/>
      <name val="Calibri"/>
      <family val="2"/>
      <scheme val="minor"/>
    </font>
    <font>
      <sz val="11"/>
      <color theme="9"/>
      <name val="Calibri"/>
      <family val="2"/>
      <scheme val="minor"/>
    </font>
    <font>
      <sz val="11"/>
      <color rgb="FFC00000"/>
      <name val="Calibri"/>
      <family val="2"/>
      <scheme val="minor"/>
    </font>
    <font>
      <b/>
      <sz val="11"/>
      <name val="Calibri"/>
      <family val="2"/>
      <scheme val="minor"/>
    </font>
    <font>
      <sz val="11"/>
      <color rgb="FF7030A0"/>
      <name val="Calibri"/>
      <family val="2"/>
      <scheme val="minor"/>
    </font>
    <font>
      <b/>
      <sz val="9"/>
      <color rgb="FF000000"/>
      <name val="Tahoma"/>
      <family val="2"/>
    </font>
    <font>
      <sz val="9"/>
      <color rgb="FF000000"/>
      <name val="Tahoma"/>
      <family val="2"/>
    </font>
    <font>
      <b/>
      <i/>
      <sz val="11"/>
      <color theme="5"/>
      <name val="Calibri"/>
      <family val="2"/>
      <scheme val="minor"/>
    </font>
    <font>
      <sz val="11"/>
      <color theme="5"/>
      <name val="Calibri"/>
      <family val="2"/>
      <scheme val="minor"/>
    </font>
    <font>
      <b/>
      <i/>
      <sz val="11"/>
      <color theme="1"/>
      <name val="Calibri"/>
      <family val="2"/>
      <scheme val="minor"/>
    </font>
    <font>
      <i/>
      <sz val="11"/>
      <name val="Calibri"/>
      <family val="2"/>
      <scheme val="minor"/>
    </font>
    <font>
      <sz val="11"/>
      <color theme="5" tint="-0.249977111117893"/>
      <name val="Calibri"/>
      <family val="2"/>
      <scheme val="minor"/>
    </font>
    <font>
      <b/>
      <sz val="11"/>
      <color rgb="FFFFFFFF"/>
      <name val="Calibri"/>
      <family val="2"/>
      <scheme val="minor"/>
    </font>
    <font>
      <sz val="11"/>
      <color rgb="FF008000"/>
      <name val="Calibri"/>
      <family val="2"/>
      <scheme val="minor"/>
    </font>
    <font>
      <b/>
      <sz val="11"/>
      <color theme="3" tint="-0.499984740745262"/>
      <name val="Calibri"/>
      <family val="2"/>
      <scheme val="minor"/>
    </font>
    <font>
      <b/>
      <sz val="11"/>
      <color theme="5"/>
      <name val="Calibri"/>
      <family val="2"/>
      <scheme val="minor"/>
    </font>
    <font>
      <b/>
      <u val="singleAccounting"/>
      <sz val="11"/>
      <color theme="1"/>
      <name val="Calibri"/>
      <family val="2"/>
      <scheme val="minor"/>
    </font>
    <font>
      <b/>
      <sz val="9"/>
      <color indexed="81"/>
      <name val="Tahoma"/>
      <family val="2"/>
    </font>
  </fonts>
  <fills count="23">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0"/>
        <bgColor indexed="64"/>
      </patternFill>
    </fill>
    <fill>
      <patternFill patternType="solid">
        <fgColor theme="4" tint="0.79998168889431442"/>
        <bgColor indexed="64"/>
      </patternFill>
    </fill>
    <fill>
      <patternFill patternType="solid">
        <fgColor theme="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C0C0C0"/>
        <bgColor indexed="64"/>
      </patternFill>
    </fill>
    <fill>
      <patternFill patternType="solid">
        <fgColor theme="7"/>
        <bgColor indexed="64"/>
      </patternFill>
    </fill>
    <fill>
      <patternFill patternType="solid">
        <fgColor theme="3" tint="0.39997558519241921"/>
        <bgColor indexed="64"/>
      </patternFill>
    </fill>
    <fill>
      <patternFill patternType="solid">
        <fgColor theme="3" tint="-0.249977111117893"/>
        <bgColor indexed="64"/>
      </patternFill>
    </fill>
    <fill>
      <patternFill patternType="solid">
        <fgColor rgb="FFFFC7CE"/>
      </patternFill>
    </fill>
    <fill>
      <patternFill patternType="solid">
        <fgColor rgb="FFF2F2F2"/>
      </patternFill>
    </fill>
    <fill>
      <patternFill patternType="solid">
        <fgColor theme="5" tint="0.39997558519241921"/>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theme="4"/>
        <bgColor indexed="64"/>
      </patternFill>
    </fill>
    <fill>
      <patternFill patternType="solid">
        <fgColor theme="3"/>
        <bgColor indexed="64"/>
      </patternFill>
    </fill>
    <fill>
      <patternFill patternType="solid">
        <fgColor theme="6" tint="0.59999389629810485"/>
        <bgColor indexed="64"/>
      </patternFill>
    </fill>
    <fill>
      <patternFill patternType="solid">
        <fgColor rgb="FF002060"/>
        <bgColor indexed="64"/>
      </patternFill>
    </fill>
    <fill>
      <patternFill patternType="solid">
        <fgColor rgb="FFFFFF99"/>
        <bgColor indexed="64"/>
      </patternFill>
    </fill>
  </fills>
  <borders count="2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medium">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s>
  <cellStyleXfs count="20">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0" fontId="5" fillId="0" borderId="0"/>
    <xf numFmtId="9" fontId="5" fillId="0" borderId="0" applyFont="0" applyFill="0" applyBorder="0" applyAlignment="0" applyProtection="0"/>
    <xf numFmtId="0" fontId="24" fillId="0" borderId="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29" fillId="13" borderId="0" applyNumberFormat="0" applyBorder="0" applyAlignment="0" applyProtection="0"/>
    <xf numFmtId="0" fontId="30" fillId="14" borderId="12" applyNumberFormat="0" applyAlignment="0" applyProtection="0"/>
    <xf numFmtId="0" fontId="34" fillId="0" borderId="0" applyNumberFormat="0" applyFill="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4" fontId="37" fillId="0" borderId="0" applyFont="0" applyFill="0" applyBorder="0" applyAlignment="0" applyProtection="0"/>
    <xf numFmtId="0" fontId="1" fillId="0" borderId="0"/>
    <xf numFmtId="9" fontId="1" fillId="0" borderId="0" applyFont="0" applyFill="0" applyBorder="0" applyAlignment="0" applyProtection="0"/>
    <xf numFmtId="0" fontId="1" fillId="0" borderId="0"/>
  </cellStyleXfs>
  <cellXfs count="462">
    <xf numFmtId="0" fontId="0" fillId="0" borderId="0" xfId="0"/>
    <xf numFmtId="10" fontId="0" fillId="0" borderId="0" xfId="1"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3" fontId="0" fillId="0" borderId="0" xfId="0" applyNumberFormat="1"/>
    <xf numFmtId="0" fontId="4" fillId="0" borderId="0" xfId="0" applyFont="1"/>
    <xf numFmtId="0" fontId="5" fillId="0" borderId="0" xfId="4"/>
    <xf numFmtId="0" fontId="5" fillId="0" borderId="0" xfId="4" applyAlignment="1">
      <alignment horizontal="center"/>
    </xf>
    <xf numFmtId="0" fontId="6" fillId="0" borderId="0" xfId="4" applyFont="1"/>
    <xf numFmtId="165" fontId="5" fillId="0" borderId="0" xfId="4" applyNumberFormat="1" applyAlignment="1">
      <alignment horizontal="center"/>
    </xf>
    <xf numFmtId="166" fontId="0" fillId="0" borderId="0" xfId="5" applyNumberFormat="1" applyFont="1" applyAlignment="1">
      <alignment horizontal="center"/>
    </xf>
    <xf numFmtId="3" fontId="5" fillId="0" borderId="0" xfId="4" applyNumberFormat="1" applyAlignment="1">
      <alignment horizontal="center" vertical="center"/>
    </xf>
    <xf numFmtId="0" fontId="7" fillId="0" borderId="0" xfId="4" quotePrefix="1" applyFont="1" applyAlignment="1">
      <alignment horizontal="center" vertical="center"/>
    </xf>
    <xf numFmtId="3" fontId="5" fillId="4" borderId="0" xfId="4" applyNumberFormat="1" applyFill="1" applyAlignment="1">
      <alignment horizontal="center" vertical="center"/>
    </xf>
    <xf numFmtId="166" fontId="0" fillId="0" borderId="0" xfId="5" applyNumberFormat="1" applyFont="1" applyBorder="1" applyAlignment="1">
      <alignment horizontal="center"/>
    </xf>
    <xf numFmtId="4" fontId="5" fillId="0" borderId="0" xfId="4" applyNumberFormat="1" applyAlignment="1">
      <alignment horizontal="center"/>
    </xf>
    <xf numFmtId="0" fontId="7" fillId="5" borderId="7" xfId="4" applyFont="1" applyFill="1" applyBorder="1" applyAlignment="1">
      <alignment horizontal="center" vertical="center"/>
    </xf>
    <xf numFmtId="0" fontId="7" fillId="5" borderId="7" xfId="4" quotePrefix="1" applyFont="1" applyFill="1" applyBorder="1" applyAlignment="1">
      <alignment horizontal="center" vertical="center"/>
    </xf>
    <xf numFmtId="0" fontId="7" fillId="5" borderId="7" xfId="4" applyFont="1" applyFill="1" applyBorder="1" applyAlignment="1">
      <alignment vertical="center"/>
    </xf>
    <xf numFmtId="0" fontId="7" fillId="5" borderId="0" xfId="4" applyFont="1" applyFill="1" applyAlignment="1">
      <alignment horizontal="center" vertical="center"/>
    </xf>
    <xf numFmtId="0" fontId="8" fillId="5" borderId="0" xfId="4" applyFont="1" applyFill="1" applyAlignment="1">
      <alignment horizontal="centerContinuous" vertical="center"/>
    </xf>
    <xf numFmtId="0" fontId="7" fillId="5" borderId="0" xfId="4" applyFont="1" applyFill="1" applyAlignment="1">
      <alignment vertical="center"/>
    </xf>
    <xf numFmtId="0" fontId="5" fillId="5" borderId="0" xfId="4" applyFill="1" applyAlignment="1">
      <alignment horizontal="right" vertical="center"/>
    </xf>
    <xf numFmtId="0" fontId="7" fillId="0" borderId="0" xfId="4" applyFont="1" applyAlignment="1">
      <alignment horizontal="center" vertical="center"/>
    </xf>
    <xf numFmtId="0" fontId="9" fillId="0" borderId="0" xfId="4" applyFont="1" applyAlignment="1">
      <alignment horizontal="left"/>
    </xf>
    <xf numFmtId="0" fontId="9" fillId="0" borderId="0" xfId="4" applyFont="1" applyAlignment="1">
      <alignment horizontal="center"/>
    </xf>
    <xf numFmtId="0" fontId="10" fillId="6" borderId="0" xfId="4" applyFont="1" applyFill="1"/>
    <xf numFmtId="0" fontId="11" fillId="6" borderId="0" xfId="4" quotePrefix="1" applyFont="1" applyFill="1" applyAlignment="1">
      <alignment horizontal="center" vertical="center"/>
    </xf>
    <xf numFmtId="1" fontId="10" fillId="6" borderId="0" xfId="4" quotePrefix="1" applyNumberFormat="1" applyFont="1" applyFill="1" applyAlignment="1">
      <alignment horizontal="center" vertical="center"/>
    </xf>
    <xf numFmtId="3" fontId="10" fillId="6" borderId="0" xfId="4" applyNumberFormat="1" applyFont="1" applyFill="1" applyAlignment="1">
      <alignment horizontal="center" vertical="center"/>
    </xf>
    <xf numFmtId="0" fontId="10" fillId="6" borderId="0" xfId="4" applyFont="1" applyFill="1" applyAlignment="1">
      <alignment horizontal="center"/>
    </xf>
    <xf numFmtId="0" fontId="11" fillId="6" borderId="0" xfId="4" applyFont="1" applyFill="1" applyAlignment="1">
      <alignment horizontal="center" vertical="center"/>
    </xf>
    <xf numFmtId="165" fontId="10" fillId="6" borderId="0" xfId="4" applyNumberFormat="1" applyFont="1" applyFill="1" applyAlignment="1">
      <alignment horizontal="center" vertical="center"/>
    </xf>
    <xf numFmtId="0" fontId="11" fillId="6" borderId="0" xfId="4" applyFont="1" applyFill="1" applyAlignment="1">
      <alignment vertical="center"/>
    </xf>
    <xf numFmtId="1" fontId="5" fillId="0" borderId="0" xfId="4" quotePrefix="1" applyNumberFormat="1" applyAlignment="1">
      <alignment horizontal="center" vertical="center"/>
    </xf>
    <xf numFmtId="165" fontId="5" fillId="0" borderId="0" xfId="4" applyNumberFormat="1" applyAlignment="1">
      <alignment horizontal="center" vertical="center"/>
    </xf>
    <xf numFmtId="0" fontId="7" fillId="0" borderId="0" xfId="4" applyFont="1" applyAlignment="1">
      <alignment vertical="center"/>
    </xf>
    <xf numFmtId="167" fontId="5" fillId="0" borderId="0" xfId="4" quotePrefix="1" applyNumberFormat="1" applyAlignment="1">
      <alignment vertical="center"/>
    </xf>
    <xf numFmtId="3" fontId="5" fillId="0" borderId="0" xfId="4" quotePrefix="1" applyNumberFormat="1" applyAlignment="1">
      <alignment horizontal="center" vertical="center"/>
    </xf>
    <xf numFmtId="3" fontId="6" fillId="0" borderId="0" xfId="4" applyNumberFormat="1" applyFont="1" applyAlignment="1">
      <alignment horizontal="center" vertical="center"/>
    </xf>
    <xf numFmtId="4" fontId="6" fillId="0" borderId="0" xfId="4" applyNumberFormat="1" applyFont="1" applyAlignment="1">
      <alignment horizontal="center" vertical="center"/>
    </xf>
    <xf numFmtId="3" fontId="5" fillId="0" borderId="0" xfId="4" applyNumberFormat="1" applyAlignment="1">
      <alignment horizontal="center"/>
    </xf>
    <xf numFmtId="3" fontId="5" fillId="0" borderId="0" xfId="4" applyNumberFormat="1"/>
    <xf numFmtId="1" fontId="6" fillId="0" borderId="0" xfId="4" quotePrefix="1" applyNumberFormat="1" applyFont="1" applyAlignment="1">
      <alignment horizontal="center" vertical="center"/>
    </xf>
    <xf numFmtId="0" fontId="12" fillId="0" borderId="0" xfId="4" applyFont="1" applyAlignment="1">
      <alignment horizontal="center"/>
    </xf>
    <xf numFmtId="166" fontId="7" fillId="7" borderId="7" xfId="4" applyNumberFormat="1" applyFont="1" applyFill="1" applyBorder="1" applyAlignment="1">
      <alignment horizontal="center"/>
    </xf>
    <xf numFmtId="0" fontId="5" fillId="7" borderId="7" xfId="4" applyFill="1" applyBorder="1"/>
    <xf numFmtId="0" fontId="7" fillId="7" borderId="6" xfId="4" applyFont="1" applyFill="1" applyBorder="1"/>
    <xf numFmtId="166" fontId="7" fillId="7" borderId="2" xfId="4" applyNumberFormat="1" applyFont="1" applyFill="1" applyBorder="1" applyAlignment="1">
      <alignment horizontal="center"/>
    </xf>
    <xf numFmtId="0" fontId="5" fillId="7" borderId="2" xfId="4" applyFill="1" applyBorder="1"/>
    <xf numFmtId="0" fontId="7" fillId="7" borderId="1" xfId="4" applyFont="1" applyFill="1" applyBorder="1"/>
    <xf numFmtId="166" fontId="12" fillId="0" borderId="9" xfId="5" applyNumberFormat="1" applyFont="1" applyFill="1" applyBorder="1" applyAlignment="1">
      <alignment horizontal="center"/>
    </xf>
    <xf numFmtId="166" fontId="0" fillId="0" borderId="9" xfId="5" applyNumberFormat="1" applyFont="1" applyBorder="1" applyAlignment="1">
      <alignment horizontal="center"/>
    </xf>
    <xf numFmtId="3" fontId="5" fillId="0" borderId="9" xfId="4" applyNumberFormat="1" applyBorder="1" applyAlignment="1">
      <alignment horizontal="center" vertical="center"/>
    </xf>
    <xf numFmtId="0" fontId="5" fillId="0" borderId="2" xfId="4" applyBorder="1"/>
    <xf numFmtId="0" fontId="5" fillId="0" borderId="9" xfId="4" applyBorder="1"/>
    <xf numFmtId="0" fontId="6" fillId="0" borderId="10" xfId="4" applyFont="1" applyBorder="1"/>
    <xf numFmtId="0" fontId="5" fillId="8" borderId="11" xfId="4" applyFill="1" applyBorder="1" applyAlignment="1">
      <alignment horizontal="center"/>
    </xf>
    <xf numFmtId="0" fontId="7" fillId="0" borderId="0" xfId="4" applyFont="1"/>
    <xf numFmtId="0" fontId="13" fillId="0" borderId="0" xfId="4" applyFont="1"/>
    <xf numFmtId="14" fontId="5" fillId="8" borderId="11" xfId="4" applyNumberFormat="1" applyFill="1" applyBorder="1" applyAlignment="1">
      <alignment horizontal="center"/>
    </xf>
    <xf numFmtId="0" fontId="5" fillId="0" borderId="7" xfId="4" applyBorder="1"/>
    <xf numFmtId="0" fontId="13" fillId="0" borderId="7" xfId="4" applyFont="1" applyBorder="1" applyAlignment="1">
      <alignment horizontal="center"/>
    </xf>
    <xf numFmtId="0" fontId="14" fillId="0" borderId="7" xfId="4" applyFont="1" applyBorder="1"/>
    <xf numFmtId="0" fontId="5" fillId="0" borderId="7" xfId="4" applyBorder="1" applyAlignment="1">
      <alignment horizontal="center"/>
    </xf>
    <xf numFmtId="4" fontId="5" fillId="0" borderId="0" xfId="4" applyNumberFormat="1" applyAlignment="1">
      <alignment horizontal="center" vertical="top"/>
    </xf>
    <xf numFmtId="0" fontId="5" fillId="0" borderId="0" xfId="4" applyAlignment="1">
      <alignment horizontal="center" vertical="top"/>
    </xf>
    <xf numFmtId="3" fontId="5" fillId="0" borderId="0" xfId="4" applyNumberFormat="1" applyAlignment="1">
      <alignment horizontal="center" vertical="justify"/>
    </xf>
    <xf numFmtId="10" fontId="5" fillId="0" borderId="0" xfId="1" applyNumberFormat="1" applyFont="1" applyAlignment="1">
      <alignment horizontal="center" vertical="center"/>
    </xf>
    <xf numFmtId="10" fontId="0" fillId="0" borderId="0" xfId="1" applyNumberFormat="1" applyFont="1" applyBorder="1"/>
    <xf numFmtId="10" fontId="0" fillId="0" borderId="5" xfId="1" applyNumberFormat="1" applyFont="1" applyBorder="1"/>
    <xf numFmtId="0" fontId="3" fillId="0" borderId="6" xfId="0" applyFont="1" applyBorder="1"/>
    <xf numFmtId="10" fontId="3" fillId="0" borderId="7" xfId="0" applyNumberFormat="1" applyFont="1" applyBorder="1"/>
    <xf numFmtId="9" fontId="3" fillId="0" borderId="7" xfId="0" applyNumberFormat="1" applyFont="1" applyBorder="1"/>
    <xf numFmtId="0" fontId="16" fillId="0" borderId="0" xfId="0" applyFont="1"/>
    <xf numFmtId="0" fontId="17" fillId="0" borderId="0" xfId="0" applyFont="1"/>
    <xf numFmtId="7" fontId="18" fillId="9" borderId="0" xfId="0" applyNumberFormat="1" applyFont="1" applyFill="1" applyAlignment="1">
      <alignment horizontal="center"/>
    </xf>
    <xf numFmtId="7" fontId="18" fillId="0" borderId="0" xfId="0" applyNumberFormat="1" applyFont="1" applyAlignment="1">
      <alignment horizontal="center"/>
    </xf>
    <xf numFmtId="0" fontId="4" fillId="4" borderId="10" xfId="0" applyFont="1" applyFill="1" applyBorder="1" applyAlignment="1">
      <alignment horizontal="center"/>
    </xf>
    <xf numFmtId="168" fontId="0" fillId="0" borderId="0" xfId="0" applyNumberFormat="1"/>
    <xf numFmtId="168" fontId="0" fillId="0" borderId="0" xfId="0" applyNumberFormat="1" applyAlignment="1">
      <alignment horizontal="left" indent="1"/>
    </xf>
    <xf numFmtId="168" fontId="0" fillId="9" borderId="0" xfId="0" applyNumberFormat="1" applyFill="1" applyAlignment="1">
      <alignment horizontal="center"/>
    </xf>
    <xf numFmtId="168" fontId="0" fillId="0" borderId="0" xfId="0" applyNumberFormat="1" applyAlignment="1">
      <alignment horizontal="center"/>
    </xf>
    <xf numFmtId="168" fontId="19" fillId="0" borderId="0" xfId="0" applyNumberFormat="1" applyFont="1" applyAlignment="1">
      <alignment horizontal="center"/>
    </xf>
    <xf numFmtId="168" fontId="19" fillId="9" borderId="0" xfId="0" applyNumberFormat="1" applyFont="1" applyFill="1" applyAlignment="1">
      <alignment horizontal="center"/>
    </xf>
    <xf numFmtId="168" fontId="20" fillId="0" borderId="0" xfId="0" applyNumberFormat="1" applyFont="1" applyAlignment="1">
      <alignment horizontal="center"/>
    </xf>
    <xf numFmtId="168" fontId="20" fillId="9" borderId="0" xfId="0" applyNumberFormat="1" applyFont="1" applyFill="1" applyAlignment="1">
      <alignment horizontal="center"/>
    </xf>
    <xf numFmtId="168" fontId="21" fillId="9" borderId="0" xfId="0" applyNumberFormat="1" applyFont="1" applyFill="1" applyAlignment="1">
      <alignment horizontal="center"/>
    </xf>
    <xf numFmtId="0" fontId="0" fillId="0" borderId="0" xfId="0" applyAlignment="1">
      <alignment horizontal="left" indent="1"/>
    </xf>
    <xf numFmtId="37" fontId="0" fillId="9" borderId="0" xfId="0" applyNumberFormat="1" applyFill="1" applyAlignment="1">
      <alignment horizontal="center"/>
    </xf>
    <xf numFmtId="37" fontId="0" fillId="0" borderId="0" xfId="0" applyNumberFormat="1" applyAlignment="1">
      <alignment horizontal="center"/>
    </xf>
    <xf numFmtId="37" fontId="19" fillId="0" borderId="0" xfId="0" applyNumberFormat="1" applyFont="1" applyAlignment="1">
      <alignment horizontal="center"/>
    </xf>
    <xf numFmtId="37" fontId="19" fillId="9" borderId="0" xfId="0" applyNumberFormat="1" applyFont="1" applyFill="1" applyAlignment="1">
      <alignment horizontal="center"/>
    </xf>
    <xf numFmtId="37" fontId="20" fillId="0" borderId="0" xfId="0" applyNumberFormat="1" applyFont="1" applyAlignment="1">
      <alignment horizontal="center"/>
    </xf>
    <xf numFmtId="37" fontId="20" fillId="9" borderId="0" xfId="0" applyNumberFormat="1" applyFont="1" applyFill="1" applyAlignment="1">
      <alignment horizontal="center"/>
    </xf>
    <xf numFmtId="37" fontId="21" fillId="9" borderId="0" xfId="0" applyNumberFormat="1" applyFont="1" applyFill="1" applyAlignment="1">
      <alignment horizontal="center"/>
    </xf>
    <xf numFmtId="37" fontId="21" fillId="0" borderId="0" xfId="0" applyNumberFormat="1" applyFont="1" applyAlignment="1">
      <alignment horizontal="center"/>
    </xf>
    <xf numFmtId="0" fontId="0" fillId="0" borderId="0" xfId="0" applyAlignment="1">
      <alignment wrapText="1"/>
    </xf>
    <xf numFmtId="0" fontId="4" fillId="0" borderId="0" xfId="0" applyFont="1" applyAlignment="1">
      <alignment horizontal="left" indent="1"/>
    </xf>
    <xf numFmtId="37" fontId="4" fillId="9" borderId="0" xfId="0" applyNumberFormat="1" applyFont="1" applyFill="1" applyAlignment="1">
      <alignment horizontal="center"/>
    </xf>
    <xf numFmtId="37" fontId="4" fillId="0" borderId="0" xfId="0" applyNumberFormat="1" applyFont="1" applyAlignment="1">
      <alignment horizontal="center"/>
    </xf>
    <xf numFmtId="37" fontId="16" fillId="0" borderId="0" xfId="0" applyNumberFormat="1" applyFont="1" applyAlignment="1">
      <alignment horizontal="center"/>
    </xf>
    <xf numFmtId="37" fontId="22" fillId="0" borderId="0" xfId="0" applyNumberFormat="1" applyFont="1" applyAlignment="1">
      <alignment horizontal="center"/>
    </xf>
    <xf numFmtId="37" fontId="22" fillId="9" borderId="0" xfId="0" applyNumberFormat="1" applyFont="1" applyFill="1" applyAlignment="1">
      <alignment horizontal="center"/>
    </xf>
    <xf numFmtId="39" fontId="0" fillId="9" borderId="0" xfId="0" applyNumberFormat="1" applyFill="1" applyAlignment="1">
      <alignment horizontal="center"/>
    </xf>
    <xf numFmtId="0" fontId="0" fillId="10" borderId="1" xfId="0" applyFill="1" applyBorder="1"/>
    <xf numFmtId="0" fontId="15" fillId="11" borderId="0" xfId="0" applyFont="1" applyFill="1"/>
    <xf numFmtId="0" fontId="0" fillId="11" borderId="0" xfId="0" applyFill="1"/>
    <xf numFmtId="0" fontId="20" fillId="11" borderId="0" xfId="0" applyFont="1" applyFill="1"/>
    <xf numFmtId="0" fontId="15" fillId="12" borderId="10" xfId="0" applyFont="1" applyFill="1" applyBorder="1" applyAlignment="1">
      <alignment horizontal="center"/>
    </xf>
    <xf numFmtId="39" fontId="23" fillId="4" borderId="0" xfId="0" applyNumberFormat="1" applyFont="1" applyFill="1" applyAlignment="1">
      <alignment horizontal="center"/>
    </xf>
    <xf numFmtId="39" fontId="0" fillId="4" borderId="0" xfId="0" applyNumberFormat="1" applyFill="1" applyAlignment="1">
      <alignment horizontal="center"/>
    </xf>
    <xf numFmtId="0" fontId="25" fillId="0" borderId="0" xfId="6" applyFont="1" applyAlignment="1">
      <alignment horizontal="left" indent="1"/>
    </xf>
    <xf numFmtId="0" fontId="26" fillId="0" borderId="0" xfId="0" applyFont="1"/>
    <xf numFmtId="0" fontId="27" fillId="0" borderId="0" xfId="6" applyFont="1" applyAlignment="1">
      <alignment horizontal="left" indent="1"/>
    </xf>
    <xf numFmtId="0" fontId="4" fillId="0" borderId="0" xfId="0" applyFont="1" applyAlignment="1">
      <alignment wrapText="1"/>
    </xf>
    <xf numFmtId="0" fontId="4" fillId="0" borderId="9" xfId="0" applyFont="1" applyBorder="1" applyAlignment="1">
      <alignment horizontal="left" indent="1"/>
    </xf>
    <xf numFmtId="0" fontId="4" fillId="0" borderId="9" xfId="0" applyFont="1" applyBorder="1"/>
    <xf numFmtId="37" fontId="4" fillId="0" borderId="9" xfId="0" applyNumberFormat="1" applyFont="1" applyBorder="1" applyAlignment="1">
      <alignment horizontal="center"/>
    </xf>
    <xf numFmtId="0" fontId="0" fillId="0" borderId="9" xfId="0" applyBorder="1"/>
    <xf numFmtId="0" fontId="4" fillId="10" borderId="0" xfId="0" applyFont="1" applyFill="1"/>
    <xf numFmtId="0" fontId="4" fillId="10" borderId="0" xfId="0" applyFont="1" applyFill="1" applyAlignment="1">
      <alignment horizontal="left" indent="1"/>
    </xf>
    <xf numFmtId="37" fontId="4" fillId="10" borderId="0" xfId="0" applyNumberFormat="1" applyFont="1" applyFill="1" applyAlignment="1">
      <alignment horizontal="center"/>
    </xf>
    <xf numFmtId="39" fontId="4" fillId="10" borderId="0" xfId="0" applyNumberFormat="1" applyFont="1" applyFill="1" applyAlignment="1">
      <alignment horizontal="center"/>
    </xf>
    <xf numFmtId="37" fontId="22" fillId="10" borderId="0" xfId="0" applyNumberFormat="1" applyFont="1" applyFill="1" applyAlignment="1">
      <alignment horizontal="center"/>
    </xf>
    <xf numFmtId="37" fontId="0" fillId="0" borderId="0" xfId="0" applyNumberFormat="1"/>
    <xf numFmtId="0" fontId="31" fillId="0" borderId="0" xfId="6" applyFont="1" applyAlignment="1">
      <alignment horizontal="left" indent="1"/>
    </xf>
    <xf numFmtId="0" fontId="32" fillId="0" borderId="0" xfId="0" applyFont="1" applyAlignment="1">
      <alignment horizontal="left" indent="1"/>
    </xf>
    <xf numFmtId="0" fontId="32" fillId="0" borderId="0" xfId="0" applyFont="1"/>
    <xf numFmtId="37" fontId="32" fillId="0" borderId="0" xfId="0" applyNumberFormat="1" applyFont="1" applyAlignment="1">
      <alignment horizontal="center"/>
    </xf>
    <xf numFmtId="0" fontId="33" fillId="0" borderId="0" xfId="0" applyFont="1" applyAlignment="1">
      <alignment horizontal="left" indent="1"/>
    </xf>
    <xf numFmtId="0" fontId="33" fillId="0" borderId="0" xfId="0" applyFont="1"/>
    <xf numFmtId="37" fontId="33" fillId="0" borderId="0" xfId="0" applyNumberFormat="1" applyFont="1" applyAlignment="1">
      <alignment horizontal="center"/>
    </xf>
    <xf numFmtId="0" fontId="0" fillId="0" borderId="0" xfId="0" applyAlignment="1">
      <alignment horizontal="center"/>
    </xf>
    <xf numFmtId="10" fontId="0" fillId="3" borderId="3" xfId="1" applyNumberFormat="1" applyFont="1" applyFill="1" applyBorder="1"/>
    <xf numFmtId="10" fontId="0" fillId="0" borderId="8" xfId="1" applyNumberFormat="1" applyFont="1" applyBorder="1"/>
    <xf numFmtId="10" fontId="0" fillId="0" borderId="2" xfId="1" applyNumberFormat="1" applyFont="1" applyBorder="1"/>
    <xf numFmtId="10" fontId="0" fillId="0" borderId="3" xfId="1" applyNumberFormat="1" applyFont="1" applyBorder="1"/>
    <xf numFmtId="10" fontId="0" fillId="0" borderId="7" xfId="1" applyNumberFormat="1" applyFont="1" applyBorder="1"/>
    <xf numFmtId="0" fontId="4" fillId="0" borderId="5" xfId="0" applyFont="1" applyBorder="1"/>
    <xf numFmtId="3" fontId="0" fillId="0" borderId="5" xfId="0" applyNumberFormat="1" applyBorder="1"/>
    <xf numFmtId="164" fontId="0" fillId="0" borderId="0" xfId="0" applyNumberFormat="1"/>
    <xf numFmtId="164" fontId="0" fillId="0" borderId="5" xfId="0" applyNumberFormat="1" applyBorder="1"/>
    <xf numFmtId="0" fontId="4" fillId="0" borderId="4" xfId="0" applyFont="1" applyBorder="1"/>
    <xf numFmtId="0" fontId="0" fillId="8" borderId="1" xfId="0" applyFill="1" applyBorder="1"/>
    <xf numFmtId="10" fontId="0" fillId="0" borderId="7" xfId="0" applyNumberFormat="1" applyBorder="1"/>
    <xf numFmtId="7" fontId="18" fillId="16" borderId="0" xfId="0" applyNumberFormat="1" applyFont="1" applyFill="1" applyAlignment="1">
      <alignment horizontal="center"/>
    </xf>
    <xf numFmtId="168" fontId="0" fillId="16" borderId="0" xfId="0" applyNumberFormat="1" applyFill="1" applyAlignment="1">
      <alignment horizontal="center"/>
    </xf>
    <xf numFmtId="168" fontId="19" fillId="16" borderId="0" xfId="0" applyNumberFormat="1" applyFont="1" applyFill="1" applyAlignment="1">
      <alignment horizontal="center"/>
    </xf>
    <xf numFmtId="168" fontId="20" fillId="16" borderId="0" xfId="0" applyNumberFormat="1" applyFont="1" applyFill="1" applyAlignment="1">
      <alignment horizontal="center"/>
    </xf>
    <xf numFmtId="168" fontId="21" fillId="16" borderId="0" xfId="0" applyNumberFormat="1" applyFont="1" applyFill="1" applyAlignment="1">
      <alignment horizontal="center"/>
    </xf>
    <xf numFmtId="37" fontId="0" fillId="16" borderId="0" xfId="0" applyNumberFormat="1" applyFill="1" applyAlignment="1">
      <alignment horizontal="center"/>
    </xf>
    <xf numFmtId="37" fontId="19" fillId="16" borderId="0" xfId="0" applyNumberFormat="1" applyFont="1" applyFill="1" applyAlignment="1">
      <alignment horizontal="center"/>
    </xf>
    <xf numFmtId="37" fontId="20" fillId="16" borderId="0" xfId="0" applyNumberFormat="1" applyFont="1" applyFill="1" applyAlignment="1">
      <alignment horizontal="center"/>
    </xf>
    <xf numFmtId="37" fontId="21" fillId="16" borderId="0" xfId="0" applyNumberFormat="1" applyFont="1" applyFill="1" applyAlignment="1">
      <alignment horizontal="center"/>
    </xf>
    <xf numFmtId="0" fontId="0" fillId="16" borderId="0" xfId="0" applyFill="1"/>
    <xf numFmtId="37" fontId="25" fillId="16" borderId="0" xfId="0" quotePrefix="1" applyNumberFormat="1" applyFont="1" applyFill="1" applyAlignment="1">
      <alignment horizontal="center"/>
    </xf>
    <xf numFmtId="37" fontId="25" fillId="16" borderId="0" xfId="0" applyNumberFormat="1" applyFont="1" applyFill="1" applyAlignment="1">
      <alignment horizontal="center"/>
    </xf>
    <xf numFmtId="10" fontId="25" fillId="16" borderId="0" xfId="1" applyNumberFormat="1" applyFont="1" applyFill="1" applyAlignment="1">
      <alignment horizontal="center"/>
    </xf>
    <xf numFmtId="10" fontId="0" fillId="16" borderId="0" xfId="1" applyNumberFormat="1" applyFont="1" applyFill="1" applyAlignment="1">
      <alignment horizontal="center"/>
    </xf>
    <xf numFmtId="37" fontId="4" fillId="16" borderId="9" xfId="0" applyNumberFormat="1" applyFont="1" applyFill="1" applyBorder="1" applyAlignment="1">
      <alignment horizontal="center"/>
    </xf>
    <xf numFmtId="37" fontId="16" fillId="16" borderId="9" xfId="0" applyNumberFormat="1" applyFont="1" applyFill="1" applyBorder="1" applyAlignment="1">
      <alignment horizontal="center"/>
    </xf>
    <xf numFmtId="37" fontId="22" fillId="16" borderId="9" xfId="0" applyNumberFormat="1" applyFont="1" applyFill="1" applyBorder="1" applyAlignment="1">
      <alignment horizontal="center"/>
    </xf>
    <xf numFmtId="37" fontId="16" fillId="16" borderId="0" xfId="0" applyNumberFormat="1" applyFont="1" applyFill="1" applyAlignment="1">
      <alignment horizontal="center"/>
    </xf>
    <xf numFmtId="37" fontId="22" fillId="16" borderId="0" xfId="0" applyNumberFormat="1" applyFont="1" applyFill="1" applyAlignment="1">
      <alignment horizontal="center"/>
    </xf>
    <xf numFmtId="37" fontId="4" fillId="16" borderId="0" xfId="0" applyNumberFormat="1" applyFont="1" applyFill="1" applyAlignment="1">
      <alignment horizontal="center"/>
    </xf>
    <xf numFmtId="10" fontId="31" fillId="16" borderId="0" xfId="1" applyNumberFormat="1" applyFont="1" applyFill="1" applyAlignment="1">
      <alignment horizontal="center"/>
    </xf>
    <xf numFmtId="39" fontId="0" fillId="16" borderId="0" xfId="0" applyNumberFormat="1" applyFill="1" applyAlignment="1">
      <alignment horizontal="center"/>
    </xf>
    <xf numFmtId="0" fontId="15" fillId="17" borderId="10" xfId="0" applyFont="1" applyFill="1" applyBorder="1" applyAlignment="1">
      <alignment horizontal="center"/>
    </xf>
    <xf numFmtId="0" fontId="28" fillId="10" borderId="0" xfId="0" applyFont="1" applyFill="1" applyAlignment="1">
      <alignment horizontal="left" vertical="center" wrapText="1"/>
    </xf>
    <xf numFmtId="0" fontId="0" fillId="10" borderId="0" xfId="0" applyFill="1"/>
    <xf numFmtId="37" fontId="0" fillId="10" borderId="0" xfId="0" applyNumberFormat="1" applyFill="1"/>
    <xf numFmtId="0" fontId="5" fillId="0" borderId="0" xfId="4" applyAlignment="1">
      <alignment wrapText="1"/>
    </xf>
    <xf numFmtId="10" fontId="5" fillId="0" borderId="0" xfId="1" applyNumberFormat="1" applyFont="1"/>
    <xf numFmtId="10" fontId="0" fillId="16" borderId="0" xfId="1" applyNumberFormat="1" applyFont="1" applyFill="1"/>
    <xf numFmtId="0" fontId="0" fillId="2" borderId="0" xfId="0" applyFill="1" applyAlignment="1">
      <alignment horizontal="center"/>
    </xf>
    <xf numFmtId="0" fontId="0" fillId="15" borderId="0" xfId="0" applyFill="1"/>
    <xf numFmtId="169" fontId="0" fillId="4" borderId="7" xfId="1" applyNumberFormat="1" applyFont="1" applyFill="1" applyBorder="1"/>
    <xf numFmtId="10" fontId="0" fillId="4" borderId="7" xfId="1" applyNumberFormat="1" applyFont="1" applyFill="1" applyBorder="1"/>
    <xf numFmtId="169" fontId="0" fillId="0" borderId="7" xfId="1" applyNumberFormat="1" applyFont="1" applyBorder="1"/>
    <xf numFmtId="10" fontId="0" fillId="4" borderId="8" xfId="1" applyNumberFormat="1" applyFont="1" applyFill="1" applyBorder="1"/>
    <xf numFmtId="39" fontId="19" fillId="16" borderId="0" xfId="0" applyNumberFormat="1" applyFont="1" applyFill="1" applyAlignment="1">
      <alignment horizontal="center"/>
    </xf>
    <xf numFmtId="39" fontId="21" fillId="16" borderId="0" xfId="0" applyNumberFormat="1" applyFont="1" applyFill="1" applyAlignment="1">
      <alignment horizontal="center"/>
    </xf>
    <xf numFmtId="39" fontId="0" fillId="16" borderId="0" xfId="0" quotePrefix="1" applyNumberFormat="1" applyFill="1" applyAlignment="1">
      <alignment horizontal="center"/>
    </xf>
    <xf numFmtId="10" fontId="25" fillId="16" borderId="0" xfId="1" quotePrefix="1" applyNumberFormat="1" applyFont="1" applyFill="1" applyAlignment="1">
      <alignment horizontal="center"/>
    </xf>
    <xf numFmtId="37" fontId="0" fillId="0" borderId="5" xfId="0" applyNumberFormat="1" applyBorder="1" applyAlignment="1">
      <alignment horizontal="center"/>
    </xf>
    <xf numFmtId="0" fontId="25" fillId="0" borderId="4" xfId="6" applyFont="1" applyBorder="1" applyAlignment="1">
      <alignment horizontal="left" indent="1"/>
    </xf>
    <xf numFmtId="10" fontId="25" fillId="0" borderId="0" xfId="1" quotePrefix="1" applyNumberFormat="1" applyFont="1" applyFill="1" applyBorder="1" applyAlignment="1">
      <alignment horizontal="center"/>
    </xf>
    <xf numFmtId="0" fontId="4" fillId="0" borderId="6" xfId="0" applyFont="1" applyBorder="1"/>
    <xf numFmtId="10" fontId="25" fillId="0" borderId="0" xfId="1" applyNumberFormat="1" applyFont="1" applyFill="1" applyAlignment="1">
      <alignment horizontal="center"/>
    </xf>
    <xf numFmtId="2" fontId="25" fillId="0" borderId="0" xfId="1" quotePrefix="1" applyNumberFormat="1" applyFont="1" applyFill="1" applyBorder="1" applyAlignment="1">
      <alignment horizontal="center"/>
    </xf>
    <xf numFmtId="3" fontId="0" fillId="0" borderId="7" xfId="0" applyNumberFormat="1" applyBorder="1"/>
    <xf numFmtId="10" fontId="0" fillId="0" borderId="0" xfId="0" applyNumberFormat="1"/>
    <xf numFmtId="169" fontId="0" fillId="0" borderId="0" xfId="0" applyNumberFormat="1"/>
    <xf numFmtId="0" fontId="0" fillId="0" borderId="0" xfId="0" applyAlignment="1">
      <alignment horizontal="left"/>
    </xf>
    <xf numFmtId="0" fontId="0" fillId="0" borderId="4" xfId="0" applyBorder="1" applyAlignment="1">
      <alignment horizontal="right"/>
    </xf>
    <xf numFmtId="0" fontId="4" fillId="0" borderId="6" xfId="0" applyFont="1" applyBorder="1" applyAlignment="1">
      <alignment horizontal="left"/>
    </xf>
    <xf numFmtId="44" fontId="0" fillId="0" borderId="0" xfId="9" applyFont="1"/>
    <xf numFmtId="44" fontId="0" fillId="0" borderId="5" xfId="9" applyFont="1" applyFill="1" applyBorder="1"/>
    <xf numFmtId="169" fontId="4" fillId="0" borderId="7" xfId="0" applyNumberFormat="1" applyFont="1" applyBorder="1"/>
    <xf numFmtId="44" fontId="0" fillId="0" borderId="8" xfId="0" applyNumberFormat="1" applyBorder="1"/>
    <xf numFmtId="0" fontId="15" fillId="18" borderId="9" xfId="0" applyFont="1" applyFill="1" applyBorder="1"/>
    <xf numFmtId="0" fontId="15" fillId="18" borderId="14" xfId="0" applyFont="1" applyFill="1" applyBorder="1"/>
    <xf numFmtId="0" fontId="15" fillId="18" borderId="0" xfId="0" applyFont="1" applyFill="1" applyAlignment="1">
      <alignment wrapText="1"/>
    </xf>
    <xf numFmtId="0" fontId="15" fillId="18" borderId="0" xfId="0" applyFont="1" applyFill="1"/>
    <xf numFmtId="169" fontId="0" fillId="0" borderId="0" xfId="1" applyNumberFormat="1" applyFont="1"/>
    <xf numFmtId="0" fontId="15" fillId="18" borderId="1" xfId="0" applyFont="1" applyFill="1" applyBorder="1" applyAlignment="1">
      <alignment wrapText="1"/>
    </xf>
    <xf numFmtId="0" fontId="15" fillId="18" borderId="2" xfId="0" applyFont="1" applyFill="1" applyBorder="1"/>
    <xf numFmtId="0" fontId="15" fillId="18" borderId="2" xfId="0" applyFont="1" applyFill="1" applyBorder="1" applyAlignment="1">
      <alignment wrapText="1"/>
    </xf>
    <xf numFmtId="0" fontId="15" fillId="18" borderId="3" xfId="0" applyFont="1" applyFill="1" applyBorder="1"/>
    <xf numFmtId="0" fontId="15" fillId="18" borderId="4" xfId="0" applyFont="1" applyFill="1" applyBorder="1" applyAlignment="1">
      <alignment wrapText="1"/>
    </xf>
    <xf numFmtId="0" fontId="15" fillId="18" borderId="5" xfId="0" applyFont="1" applyFill="1" applyBorder="1"/>
    <xf numFmtId="0" fontId="34" fillId="0" borderId="4" xfId="12" applyBorder="1"/>
    <xf numFmtId="170" fontId="0" fillId="0" borderId="0" xfId="0" applyNumberFormat="1"/>
    <xf numFmtId="0" fontId="0" fillId="0" borderId="0" xfId="0" quotePrefix="1"/>
    <xf numFmtId="0" fontId="0" fillId="0" borderId="7" xfId="0" quotePrefix="1" applyBorder="1"/>
    <xf numFmtId="0" fontId="0" fillId="0" borderId="0" xfId="0" applyAlignment="1">
      <alignment vertical="center" wrapText="1"/>
    </xf>
    <xf numFmtId="170" fontId="0" fillId="0" borderId="5" xfId="0" applyNumberFormat="1" applyBorder="1"/>
    <xf numFmtId="0" fontId="4" fillId="2" borderId="5" xfId="0" applyFont="1" applyFill="1" applyBorder="1"/>
    <xf numFmtId="0" fontId="4" fillId="0" borderId="4" xfId="0" applyFont="1" applyBorder="1" applyAlignment="1">
      <alignment horizontal="center"/>
    </xf>
    <xf numFmtId="0" fontId="4" fillId="0" borderId="0" xfId="0" applyFont="1" applyAlignment="1">
      <alignment horizontal="center"/>
    </xf>
    <xf numFmtId="37" fontId="0" fillId="0" borderId="0" xfId="0" quotePrefix="1" applyNumberFormat="1" applyAlignment="1">
      <alignment horizontal="center"/>
    </xf>
    <xf numFmtId="10" fontId="0" fillId="0" borderId="0" xfId="1" applyNumberFormat="1" applyFont="1" applyFill="1" applyBorder="1" applyAlignment="1">
      <alignment horizontal="center"/>
    </xf>
    <xf numFmtId="0" fontId="4" fillId="18" borderId="10" xfId="0" applyFont="1" applyFill="1" applyBorder="1"/>
    <xf numFmtId="37" fontId="0" fillId="0" borderId="5" xfId="0" applyNumberFormat="1" applyBorder="1"/>
    <xf numFmtId="10" fontId="0" fillId="0" borderId="7" xfId="1" applyNumberFormat="1" applyFont="1" applyFill="1" applyBorder="1"/>
    <xf numFmtId="10" fontId="0" fillId="0" borderId="8" xfId="1" applyNumberFormat="1" applyFont="1" applyFill="1" applyBorder="1"/>
    <xf numFmtId="2" fontId="0" fillId="0" borderId="0" xfId="0" applyNumberFormat="1"/>
    <xf numFmtId="1" fontId="0" fillId="0" borderId="0" xfId="8" applyNumberFormat="1" applyFont="1" applyFill="1" applyBorder="1"/>
    <xf numFmtId="1" fontId="0" fillId="0" borderId="5" xfId="8" applyNumberFormat="1" applyFont="1" applyBorder="1"/>
    <xf numFmtId="37" fontId="0" fillId="0" borderId="7" xfId="0" applyNumberFormat="1" applyBorder="1"/>
    <xf numFmtId="0" fontId="23" fillId="18" borderId="1" xfId="0" applyFont="1" applyFill="1" applyBorder="1" applyAlignment="1">
      <alignment wrapText="1"/>
    </xf>
    <xf numFmtId="0" fontId="23" fillId="18" borderId="2" xfId="0" applyFont="1" applyFill="1" applyBorder="1"/>
    <xf numFmtId="0" fontId="23" fillId="18" borderId="3" xfId="0" applyFont="1" applyFill="1" applyBorder="1"/>
    <xf numFmtId="10" fontId="21" fillId="16" borderId="0" xfId="1" applyNumberFormat="1" applyFont="1" applyFill="1" applyAlignment="1">
      <alignment horizontal="center"/>
    </xf>
    <xf numFmtId="37" fontId="3" fillId="0" borderId="0" xfId="0" applyNumberFormat="1" applyFont="1" applyAlignment="1">
      <alignment horizontal="center"/>
    </xf>
    <xf numFmtId="37" fontId="3" fillId="0" borderId="5" xfId="0" applyNumberFormat="1" applyFont="1" applyBorder="1" applyAlignment="1">
      <alignment horizontal="center"/>
    </xf>
    <xf numFmtId="1" fontId="35" fillId="0" borderId="0" xfId="8" quotePrefix="1" applyNumberFormat="1" applyFont="1" applyFill="1" applyBorder="1" applyAlignment="1">
      <alignment horizontal="center"/>
    </xf>
    <xf numFmtId="1" fontId="35" fillId="0" borderId="5" xfId="8" quotePrefix="1" applyNumberFormat="1" applyFont="1" applyFill="1" applyBorder="1" applyAlignment="1">
      <alignment horizontal="center"/>
    </xf>
    <xf numFmtId="10" fontId="35" fillId="0" borderId="0" xfId="1" quotePrefix="1" applyNumberFormat="1" applyFont="1" applyFill="1" applyBorder="1" applyAlignment="1">
      <alignment horizontal="center"/>
    </xf>
    <xf numFmtId="10" fontId="35" fillId="0" borderId="5" xfId="1" quotePrefix="1" applyNumberFormat="1" applyFont="1" applyFill="1" applyBorder="1" applyAlignment="1">
      <alignment horizontal="center"/>
    </xf>
    <xf numFmtId="1" fontId="3" fillId="0" borderId="0" xfId="8" applyNumberFormat="1" applyFont="1" applyFill="1" applyBorder="1"/>
    <xf numFmtId="1" fontId="3" fillId="0" borderId="5" xfId="8" applyNumberFormat="1" applyFont="1" applyBorder="1"/>
    <xf numFmtId="10" fontId="3" fillId="0" borderId="0" xfId="1" applyNumberFormat="1" applyFont="1" applyFill="1" applyBorder="1" applyAlignment="1">
      <alignment horizontal="center"/>
    </xf>
    <xf numFmtId="10" fontId="3" fillId="0" borderId="5" xfId="1" applyNumberFormat="1" applyFont="1" applyFill="1" applyBorder="1" applyAlignment="1">
      <alignment horizontal="center"/>
    </xf>
    <xf numFmtId="2" fontId="35" fillId="0" borderId="0" xfId="1" quotePrefix="1" applyNumberFormat="1" applyFont="1" applyFill="1" applyBorder="1" applyAlignment="1">
      <alignment horizontal="center"/>
    </xf>
    <xf numFmtId="2" fontId="35" fillId="0" borderId="5" xfId="1" quotePrefix="1" applyNumberFormat="1" applyFont="1" applyFill="1" applyBorder="1" applyAlignment="1">
      <alignment horizontal="center"/>
    </xf>
    <xf numFmtId="37" fontId="3" fillId="0" borderId="7" xfId="0" applyNumberFormat="1" applyFont="1" applyBorder="1"/>
    <xf numFmtId="37" fontId="3" fillId="0" borderId="8" xfId="0" applyNumberFormat="1" applyFont="1" applyBorder="1"/>
    <xf numFmtId="2" fontId="0" fillId="16" borderId="0" xfId="0" applyNumberFormat="1" applyFill="1"/>
    <xf numFmtId="0" fontId="0" fillId="16" borderId="0" xfId="0" quotePrefix="1" applyFill="1" applyAlignment="1">
      <alignment horizontal="right"/>
    </xf>
    <xf numFmtId="0" fontId="36" fillId="0" borderId="0" xfId="6" applyFont="1" applyAlignment="1">
      <alignment horizontal="left" indent="1"/>
    </xf>
    <xf numFmtId="10" fontId="36" fillId="16" borderId="0" xfId="1" applyNumberFormat="1" applyFont="1" applyFill="1" applyAlignment="1">
      <alignment horizontal="center"/>
    </xf>
    <xf numFmtId="37" fontId="21" fillId="10" borderId="0" xfId="0" applyNumberFormat="1" applyFont="1" applyFill="1" applyAlignment="1">
      <alignment horizontal="center"/>
    </xf>
    <xf numFmtId="0" fontId="0" fillId="0" borderId="7" xfId="0" applyBorder="1" applyAlignment="1">
      <alignment horizontal="center"/>
    </xf>
    <xf numFmtId="0" fontId="14" fillId="0" borderId="7" xfId="0" applyFont="1" applyBorder="1"/>
    <xf numFmtId="0" fontId="0" fillId="8" borderId="11" xfId="0" applyFill="1" applyBorder="1" applyAlignment="1">
      <alignment horizontal="center"/>
    </xf>
    <xf numFmtId="174" fontId="0" fillId="0" borderId="0" xfId="0" applyNumberFormat="1"/>
    <xf numFmtId="14" fontId="0" fillId="8" borderId="11" xfId="0" applyNumberFormat="1" applyFill="1" applyBorder="1" applyAlignment="1">
      <alignment horizontal="center"/>
    </xf>
    <xf numFmtId="0" fontId="15" fillId="19" borderId="0" xfId="0" applyFont="1" applyFill="1"/>
    <xf numFmtId="0" fontId="41" fillId="0" borderId="0" xfId="0" applyFont="1"/>
    <xf numFmtId="169" fontId="0" fillId="8" borderId="11" xfId="0" applyNumberFormat="1" applyFill="1" applyBorder="1" applyAlignment="1">
      <alignment horizontal="center"/>
    </xf>
    <xf numFmtId="10" fontId="0" fillId="8" borderId="11" xfId="1" applyNumberFormat="1" applyFont="1" applyFill="1" applyBorder="1" applyAlignment="1">
      <alignment horizontal="center"/>
    </xf>
    <xf numFmtId="10" fontId="0" fillId="8" borderId="11" xfId="0" applyNumberFormat="1" applyFill="1" applyBorder="1" applyAlignment="1">
      <alignment horizontal="center"/>
    </xf>
    <xf numFmtId="175" fontId="15" fillId="19" borderId="0" xfId="0" applyNumberFormat="1" applyFont="1" applyFill="1"/>
    <xf numFmtId="37" fontId="42" fillId="0" borderId="0" xfId="0" applyNumberFormat="1" applyFont="1"/>
    <xf numFmtId="37" fontId="43" fillId="0" borderId="0" xfId="0" applyNumberFormat="1" applyFont="1"/>
    <xf numFmtId="9" fontId="26" fillId="0" borderId="0" xfId="1" applyFont="1"/>
    <xf numFmtId="9" fontId="26" fillId="0" borderId="0" xfId="1" quotePrefix="1" applyFont="1" applyAlignment="1">
      <alignment horizontal="right"/>
    </xf>
    <xf numFmtId="0" fontId="20" fillId="0" borderId="0" xfId="0" applyFont="1" applyAlignment="1">
      <alignment horizontal="center"/>
    </xf>
    <xf numFmtId="0" fontId="44" fillId="0" borderId="0" xfId="0" applyFont="1"/>
    <xf numFmtId="0" fontId="20" fillId="0" borderId="0" xfId="0" applyFont="1"/>
    <xf numFmtId="9" fontId="44" fillId="0" borderId="0" xfId="0" applyNumberFormat="1" applyFont="1" applyAlignment="1">
      <alignment vertical="top"/>
    </xf>
    <xf numFmtId="37" fontId="45" fillId="0" borderId="0" xfId="0" applyNumberFormat="1" applyFont="1"/>
    <xf numFmtId="37" fontId="20" fillId="0" borderId="0" xfId="0" applyNumberFormat="1" applyFont="1"/>
    <xf numFmtId="37" fontId="45" fillId="0" borderId="0" xfId="0" applyNumberFormat="1" applyFont="1" applyAlignment="1">
      <alignment vertical="top"/>
    </xf>
    <xf numFmtId="0" fontId="0" fillId="0" borderId="10" xfId="0" applyBorder="1"/>
    <xf numFmtId="37" fontId="20" fillId="0" borderId="9" xfId="0" applyNumberFormat="1" applyFont="1" applyBorder="1"/>
    <xf numFmtId="37" fontId="0" fillId="0" borderId="2" xfId="0" applyNumberFormat="1" applyBorder="1"/>
    <xf numFmtId="2" fontId="0" fillId="0" borderId="0" xfId="0" applyNumberFormat="1" applyAlignment="1">
      <alignment vertical="top"/>
    </xf>
    <xf numFmtId="0" fontId="48" fillId="0" borderId="0" xfId="6" applyFont="1" applyAlignment="1">
      <alignment horizontal="left" indent="1"/>
    </xf>
    <xf numFmtId="39" fontId="22" fillId="10" borderId="0" xfId="0" applyNumberFormat="1" applyFont="1" applyFill="1" applyAlignment="1">
      <alignment horizontal="center"/>
    </xf>
    <xf numFmtId="39" fontId="22" fillId="20" borderId="0" xfId="0" applyNumberFormat="1" applyFont="1" applyFill="1" applyAlignment="1">
      <alignment horizontal="center"/>
    </xf>
    <xf numFmtId="39" fontId="49" fillId="16" borderId="0" xfId="0" applyNumberFormat="1" applyFont="1" applyFill="1" applyAlignment="1">
      <alignment horizontal="center"/>
    </xf>
    <xf numFmtId="169" fontId="26" fillId="0" borderId="0" xfId="1" quotePrefix="1" applyNumberFormat="1" applyFont="1" applyAlignment="1">
      <alignment horizontal="right"/>
    </xf>
    <xf numFmtId="169" fontId="26" fillId="0" borderId="0" xfId="1" applyNumberFormat="1" applyFont="1"/>
    <xf numFmtId="37" fontId="15" fillId="19" borderId="0" xfId="0" applyNumberFormat="1" applyFont="1" applyFill="1"/>
    <xf numFmtId="169" fontId="26" fillId="0" borderId="0" xfId="1" applyNumberFormat="1" applyFont="1" applyFill="1"/>
    <xf numFmtId="0" fontId="50" fillId="0" borderId="0" xfId="0" applyFont="1"/>
    <xf numFmtId="0" fontId="50" fillId="0" borderId="7" xfId="0" applyFont="1" applyBorder="1"/>
    <xf numFmtId="169" fontId="20" fillId="0" borderId="0" xfId="1" applyNumberFormat="1" applyFont="1"/>
    <xf numFmtId="169" fontId="51" fillId="0" borderId="0" xfId="1" applyNumberFormat="1" applyFont="1"/>
    <xf numFmtId="169" fontId="51" fillId="8" borderId="11" xfId="0" applyNumberFormat="1" applyFont="1" applyFill="1" applyBorder="1" applyAlignment="1">
      <alignment horizontal="right"/>
    </xf>
    <xf numFmtId="171" fontId="20" fillId="0" borderId="0" xfId="0" applyNumberFormat="1" applyFont="1"/>
    <xf numFmtId="169" fontId="20" fillId="0" borderId="0" xfId="0" applyNumberFormat="1" applyFont="1"/>
    <xf numFmtId="0" fontId="15" fillId="21" borderId="0" xfId="0" applyFont="1" applyFill="1"/>
    <xf numFmtId="0" fontId="0" fillId="21" borderId="0" xfId="0" applyFill="1"/>
    <xf numFmtId="169" fontId="0" fillId="0" borderId="0" xfId="0" applyNumberFormat="1" applyAlignment="1">
      <alignment horizontal="right"/>
    </xf>
    <xf numFmtId="10" fontId="0" fillId="0" borderId="0" xfId="0" applyNumberFormat="1" applyAlignment="1">
      <alignment horizontal="right"/>
    </xf>
    <xf numFmtId="10" fontId="0" fillId="8" borderId="11" xfId="0" applyNumberFormat="1" applyFill="1" applyBorder="1" applyAlignment="1">
      <alignment horizontal="right"/>
    </xf>
    <xf numFmtId="0" fontId="0" fillId="8" borderId="11" xfId="0" applyFill="1" applyBorder="1" applyAlignment="1">
      <alignment horizontal="right"/>
    </xf>
    <xf numFmtId="172" fontId="0" fillId="0" borderId="0" xfId="0" applyNumberFormat="1"/>
    <xf numFmtId="1" fontId="0" fillId="8" borderId="11" xfId="0" applyNumberFormat="1" applyFill="1" applyBorder="1" applyAlignment="1">
      <alignment horizontal="right"/>
    </xf>
    <xf numFmtId="37" fontId="20" fillId="0" borderId="0" xfId="0" applyNumberFormat="1" applyFont="1" applyAlignment="1">
      <alignment vertical="top"/>
    </xf>
    <xf numFmtId="37" fontId="20" fillId="0" borderId="14" xfId="0" applyNumberFormat="1" applyFont="1" applyBorder="1"/>
    <xf numFmtId="0" fontId="15" fillId="0" borderId="0" xfId="0" applyFont="1"/>
    <xf numFmtId="7" fontId="52" fillId="0" borderId="0" xfId="0" applyNumberFormat="1" applyFont="1"/>
    <xf numFmtId="0" fontId="22" fillId="22" borderId="0" xfId="0" applyFont="1" applyFill="1" applyAlignment="1">
      <alignment horizontal="right"/>
    </xf>
    <xf numFmtId="176" fontId="0" fillId="0" borderId="0" xfId="0" applyNumberFormat="1"/>
    <xf numFmtId="7" fontId="17" fillId="0" borderId="0" xfId="0" applyNumberFormat="1" applyFont="1"/>
    <xf numFmtId="178" fontId="16" fillId="5" borderId="0" xfId="0" applyNumberFormat="1" applyFont="1" applyFill="1" applyAlignment="1">
      <alignment horizontal="center"/>
    </xf>
    <xf numFmtId="177" fontId="16" fillId="5" borderId="0" xfId="0" applyNumberFormat="1" applyFont="1" applyFill="1" applyAlignment="1">
      <alignment horizontal="center"/>
    </xf>
    <xf numFmtId="0" fontId="19" fillId="0" borderId="0" xfId="0" applyFont="1" applyAlignment="1">
      <alignment horizontal="center"/>
    </xf>
    <xf numFmtId="177" fontId="16" fillId="5" borderId="0" xfId="0" applyNumberFormat="1" applyFont="1" applyFill="1" applyAlignment="1">
      <alignment horizontal="centerContinuous"/>
    </xf>
    <xf numFmtId="0" fontId="16" fillId="5" borderId="0" xfId="0" applyFont="1" applyFill="1" applyAlignment="1">
      <alignment horizontal="centerContinuous"/>
    </xf>
    <xf numFmtId="0" fontId="16" fillId="5" borderId="0" xfId="0" applyFont="1" applyFill="1" applyAlignment="1">
      <alignment horizontal="center"/>
    </xf>
    <xf numFmtId="14" fontId="22" fillId="22" borderId="0" xfId="0" applyNumberFormat="1" applyFont="1" applyFill="1" applyAlignment="1">
      <alignment horizontal="right"/>
    </xf>
    <xf numFmtId="5" fontId="44" fillId="0" borderId="0" xfId="0" applyNumberFormat="1" applyFont="1" applyAlignment="1">
      <alignment horizontal="right"/>
    </xf>
    <xf numFmtId="5" fontId="17" fillId="0" borderId="0" xfId="0" applyNumberFormat="1" applyFont="1" applyAlignment="1">
      <alignment horizontal="right"/>
    </xf>
    <xf numFmtId="179" fontId="22" fillId="22" borderId="0" xfId="0" applyNumberFormat="1" applyFont="1" applyFill="1" applyAlignment="1">
      <alignment horizontal="right"/>
    </xf>
    <xf numFmtId="7" fontId="44" fillId="0" borderId="0" xfId="0" applyNumberFormat="1" applyFont="1" applyAlignment="1">
      <alignment horizontal="right"/>
    </xf>
    <xf numFmtId="176" fontId="44" fillId="22" borderId="0" xfId="0" applyNumberFormat="1" applyFont="1" applyFill="1" applyAlignment="1">
      <alignment horizontal="right"/>
    </xf>
    <xf numFmtId="7" fontId="21" fillId="0" borderId="0" xfId="0" applyNumberFormat="1" applyFont="1"/>
    <xf numFmtId="176" fontId="0" fillId="0" borderId="0" xfId="0" applyNumberFormat="1" applyAlignment="1">
      <alignment horizontal="right"/>
    </xf>
    <xf numFmtId="179" fontId="0" fillId="22" borderId="0" xfId="0" applyNumberFormat="1" applyFill="1" applyAlignment="1">
      <alignment horizontal="right"/>
    </xf>
    <xf numFmtId="180" fontId="17" fillId="0" borderId="0" xfId="0" applyNumberFormat="1" applyFont="1"/>
    <xf numFmtId="181" fontId="20" fillId="0" borderId="0" xfId="0" applyNumberFormat="1" applyFont="1" applyAlignment="1">
      <alignment horizontal="right"/>
    </xf>
    <xf numFmtId="181" fontId="19" fillId="0" borderId="0" xfId="0" applyNumberFormat="1" applyFont="1" applyAlignment="1">
      <alignment horizontal="right"/>
    </xf>
    <xf numFmtId="7" fontId="17" fillId="22" borderId="0" xfId="0" applyNumberFormat="1" applyFont="1" applyFill="1" applyAlignment="1">
      <alignment horizontal="right"/>
    </xf>
    <xf numFmtId="7" fontId="20" fillId="0" borderId="0" xfId="0" applyNumberFormat="1" applyFont="1"/>
    <xf numFmtId="0" fontId="4" fillId="0" borderId="20" xfId="0" applyFont="1" applyBorder="1"/>
    <xf numFmtId="44" fontId="22" fillId="22" borderId="21" xfId="0" applyNumberFormat="1" applyFont="1" applyFill="1" applyBorder="1" applyAlignment="1">
      <alignment horizontal="right"/>
    </xf>
    <xf numFmtId="0" fontId="0" fillId="0" borderId="20" xfId="0" applyBorder="1"/>
    <xf numFmtId="37" fontId="54" fillId="0" borderId="21" xfId="0" applyNumberFormat="1" applyFont="1" applyBorder="1" applyAlignment="1">
      <alignment horizontal="right"/>
    </xf>
    <xf numFmtId="173" fontId="44" fillId="0" borderId="0" xfId="0" applyNumberFormat="1" applyFont="1" applyAlignment="1">
      <alignment horizontal="right"/>
    </xf>
    <xf numFmtId="7" fontId="19" fillId="0" borderId="0" xfId="0" applyNumberFormat="1" applyFont="1" applyAlignment="1">
      <alignment horizontal="center"/>
    </xf>
    <xf numFmtId="0" fontId="19" fillId="0" borderId="0" xfId="0" applyFont="1"/>
    <xf numFmtId="5" fontId="4" fillId="0" borderId="21" xfId="0" applyNumberFormat="1" applyFont="1" applyBorder="1" applyAlignment="1">
      <alignment horizontal="right"/>
    </xf>
    <xf numFmtId="0" fontId="53" fillId="0" borderId="0" xfId="0" applyFont="1"/>
    <xf numFmtId="0" fontId="16" fillId="0" borderId="0" xfId="0" applyFont="1" applyAlignment="1">
      <alignment horizontal="centerContinuous"/>
    </xf>
    <xf numFmtId="5" fontId="54" fillId="0" borderId="21" xfId="0" applyNumberFormat="1" applyFont="1" applyBorder="1" applyAlignment="1">
      <alignment horizontal="right"/>
    </xf>
    <xf numFmtId="44" fontId="38" fillId="2" borderId="23" xfId="16" applyFont="1" applyFill="1" applyBorder="1"/>
    <xf numFmtId="7" fontId="20" fillId="0" borderId="18" xfId="0" applyNumberFormat="1" applyFont="1" applyBorder="1"/>
    <xf numFmtId="176" fontId="0" fillId="0" borderId="22" xfId="0" applyNumberFormat="1" applyBorder="1" applyAlignment="1">
      <alignment horizontal="right"/>
    </xf>
    <xf numFmtId="179" fontId="0" fillId="22" borderId="22" xfId="0" applyNumberFormat="1" applyFill="1" applyBorder="1" applyAlignment="1">
      <alignment horizontal="right"/>
    </xf>
    <xf numFmtId="176" fontId="0" fillId="0" borderId="19" xfId="0" applyNumberFormat="1" applyBorder="1"/>
    <xf numFmtId="0" fontId="4" fillId="22" borderId="1" xfId="0" applyFont="1" applyFill="1" applyBorder="1"/>
    <xf numFmtId="7" fontId="44" fillId="22" borderId="2" xfId="0" applyNumberFormat="1" applyFont="1" applyFill="1" applyBorder="1" applyAlignment="1">
      <alignment horizontal="right"/>
    </xf>
    <xf numFmtId="7" fontId="17" fillId="22" borderId="2" xfId="0" applyNumberFormat="1" applyFont="1" applyFill="1" applyBorder="1" applyAlignment="1">
      <alignment horizontal="right"/>
    </xf>
    <xf numFmtId="7" fontId="17" fillId="22" borderId="3" xfId="0" applyNumberFormat="1" applyFont="1" applyFill="1" applyBorder="1" applyAlignment="1">
      <alignment horizontal="right"/>
    </xf>
    <xf numFmtId="44" fontId="40" fillId="2" borderId="24" xfId="16" applyFont="1" applyFill="1" applyBorder="1"/>
    <xf numFmtId="0" fontId="3" fillId="0" borderId="0" xfId="0" applyFont="1" applyAlignment="1">
      <alignment horizontal="center"/>
    </xf>
    <xf numFmtId="7" fontId="20" fillId="0" borderId="20" xfId="0" applyNumberFormat="1" applyFont="1" applyBorder="1"/>
    <xf numFmtId="176" fontId="0" fillId="0" borderId="21" xfId="0" applyNumberFormat="1" applyBorder="1"/>
    <xf numFmtId="0" fontId="0" fillId="22" borderId="6" xfId="0" applyFill="1" applyBorder="1" applyAlignment="1">
      <alignment horizontal="left" indent="1"/>
    </xf>
    <xf numFmtId="181" fontId="20" fillId="22" borderId="7" xfId="0" applyNumberFormat="1" applyFont="1" applyFill="1" applyBorder="1" applyAlignment="1">
      <alignment horizontal="right"/>
    </xf>
    <xf numFmtId="181" fontId="19" fillId="22" borderId="7" xfId="0" applyNumberFormat="1" applyFont="1" applyFill="1" applyBorder="1" applyAlignment="1">
      <alignment horizontal="right"/>
    </xf>
    <xf numFmtId="181" fontId="19" fillId="22" borderId="8" xfId="0" applyNumberFormat="1" applyFont="1" applyFill="1" applyBorder="1" applyAlignment="1">
      <alignment horizontal="right"/>
    </xf>
    <xf numFmtId="169" fontId="39" fillId="2" borderId="27" xfId="15" applyNumberFormat="1" applyFont="1" applyFill="1" applyBorder="1"/>
    <xf numFmtId="7" fontId="20" fillId="0" borderId="25" xfId="0" applyNumberFormat="1" applyFont="1" applyBorder="1"/>
    <xf numFmtId="176" fontId="0" fillId="0" borderId="15" xfId="0" applyNumberFormat="1" applyBorder="1" applyAlignment="1">
      <alignment horizontal="right"/>
    </xf>
    <xf numFmtId="179" fontId="0" fillId="22" borderId="15" xfId="0" applyNumberFormat="1" applyFill="1" applyBorder="1" applyAlignment="1">
      <alignment horizontal="right"/>
    </xf>
    <xf numFmtId="176" fontId="0" fillId="0" borderId="28" xfId="0" applyNumberFormat="1" applyBorder="1"/>
    <xf numFmtId="0" fontId="4" fillId="0" borderId="25" xfId="0" applyFont="1" applyBorder="1"/>
    <xf numFmtId="5" fontId="4" fillId="0" borderId="28" xfId="0" applyNumberFormat="1" applyFont="1" applyBorder="1" applyAlignment="1">
      <alignment horizontal="right"/>
    </xf>
    <xf numFmtId="4" fontId="4" fillId="0" borderId="0" xfId="0" applyNumberFormat="1" applyFont="1"/>
    <xf numFmtId="182" fontId="0" fillId="0" borderId="0" xfId="0" applyNumberFormat="1"/>
    <xf numFmtId="176" fontId="21" fillId="0" borderId="0" xfId="0" applyNumberFormat="1" applyFont="1"/>
    <xf numFmtId="7" fontId="22" fillId="22" borderId="16" xfId="0" applyNumberFormat="1" applyFont="1" applyFill="1" applyBorder="1" applyAlignment="1">
      <alignment horizontal="right"/>
    </xf>
    <xf numFmtId="0" fontId="4" fillId="22" borderId="10" xfId="0" applyFont="1" applyFill="1" applyBorder="1"/>
    <xf numFmtId="0" fontId="4" fillId="22" borderId="9" xfId="0" applyFont="1" applyFill="1" applyBorder="1"/>
    <xf numFmtId="176" fontId="4" fillId="22" borderId="9" xfId="0" applyNumberFormat="1" applyFont="1" applyFill="1" applyBorder="1"/>
    <xf numFmtId="176" fontId="4" fillId="22" borderId="9" xfId="0" applyNumberFormat="1" applyFont="1" applyFill="1" applyBorder="1" applyAlignment="1">
      <alignment horizontal="right"/>
    </xf>
    <xf numFmtId="176" fontId="4" fillId="22" borderId="14" xfId="0" applyNumberFormat="1" applyFont="1" applyFill="1" applyBorder="1" applyAlignment="1">
      <alignment horizontal="right"/>
    </xf>
    <xf numFmtId="183" fontId="4" fillId="0" borderId="0" xfId="0" applyNumberFormat="1" applyFont="1" applyAlignment="1">
      <alignment horizontal="right"/>
    </xf>
    <xf numFmtId="7" fontId="22" fillId="22" borderId="17" xfId="0" applyNumberFormat="1" applyFont="1" applyFill="1" applyBorder="1" applyAlignment="1">
      <alignment horizontal="right"/>
    </xf>
    <xf numFmtId="0" fontId="21" fillId="0" borderId="0" xfId="0" applyFont="1"/>
    <xf numFmtId="178" fontId="4" fillId="5" borderId="0" xfId="0" applyNumberFormat="1" applyFont="1" applyFill="1" applyAlignment="1">
      <alignment horizontal="center"/>
    </xf>
    <xf numFmtId="5" fontId="22" fillId="0" borderId="0" xfId="0" applyNumberFormat="1" applyFont="1"/>
    <xf numFmtId="0" fontId="4" fillId="0" borderId="1" xfId="0" applyFont="1" applyBorder="1" applyAlignment="1">
      <alignment horizontal="left"/>
    </xf>
    <xf numFmtId="179" fontId="44" fillId="0" borderId="2" xfId="0" applyNumberFormat="1" applyFont="1" applyBorder="1"/>
    <xf numFmtId="179" fontId="44" fillId="22" borderId="2" xfId="0" applyNumberFormat="1" applyFont="1" applyFill="1" applyBorder="1"/>
    <xf numFmtId="179" fontId="44" fillId="22" borderId="3" xfId="0" applyNumberFormat="1" applyFont="1" applyFill="1" applyBorder="1"/>
    <xf numFmtId="179" fontId="22" fillId="0" borderId="13" xfId="0" applyNumberFormat="1" applyFont="1" applyBorder="1"/>
    <xf numFmtId="7" fontId="0" fillId="0" borderId="0" xfId="0" applyNumberFormat="1"/>
    <xf numFmtId="0" fontId="4" fillId="0" borderId="4" xfId="0" applyFont="1" applyBorder="1" applyAlignment="1">
      <alignment horizontal="left"/>
    </xf>
    <xf numFmtId="179" fontId="44" fillId="22" borderId="5" xfId="0" applyNumberFormat="1" applyFont="1" applyFill="1" applyBorder="1"/>
    <xf numFmtId="179" fontId="54" fillId="0" borderId="0" xfId="0" applyNumberFormat="1" applyFont="1"/>
    <xf numFmtId="176" fontId="4" fillId="22" borderId="14" xfId="0" applyNumberFormat="1" applyFont="1" applyFill="1" applyBorder="1"/>
    <xf numFmtId="179" fontId="44" fillId="22" borderId="7" xfId="0" applyNumberFormat="1" applyFont="1" applyFill="1" applyBorder="1"/>
    <xf numFmtId="7" fontId="54" fillId="0" borderId="0" xfId="0" applyNumberFormat="1" applyFont="1"/>
    <xf numFmtId="179" fontId="22" fillId="22" borderId="0" xfId="0" applyNumberFormat="1" applyFont="1" applyFill="1"/>
    <xf numFmtId="7" fontId="4" fillId="0" borderId="0" xfId="0" applyNumberFormat="1" applyFont="1"/>
    <xf numFmtId="0" fontId="4" fillId="22" borderId="1" xfId="0" applyFont="1" applyFill="1" applyBorder="1" applyAlignment="1">
      <alignment horizontal="left" indent="1"/>
    </xf>
    <xf numFmtId="176" fontId="4" fillId="22" borderId="3" xfId="0" applyNumberFormat="1" applyFont="1" applyFill="1" applyBorder="1"/>
    <xf numFmtId="179" fontId="17" fillId="22" borderId="22" xfId="0" applyNumberFormat="1" applyFont="1" applyFill="1" applyBorder="1" applyAlignment="1">
      <alignment horizontal="right"/>
    </xf>
    <xf numFmtId="0" fontId="4" fillId="22" borderId="4" xfId="0" applyFont="1" applyFill="1" applyBorder="1" applyAlignment="1">
      <alignment horizontal="left" indent="1"/>
    </xf>
    <xf numFmtId="179" fontId="4" fillId="22" borderId="5" xfId="0" applyNumberFormat="1" applyFont="1" applyFill="1" applyBorder="1"/>
    <xf numFmtId="0" fontId="4" fillId="22" borderId="6" xfId="0" applyFont="1" applyFill="1" applyBorder="1" applyAlignment="1">
      <alignment horizontal="left" indent="1"/>
    </xf>
    <xf numFmtId="176" fontId="4" fillId="22" borderId="8" xfId="0" applyNumberFormat="1" applyFont="1" applyFill="1" applyBorder="1"/>
    <xf numFmtId="7" fontId="4" fillId="22" borderId="3" xfId="0" applyNumberFormat="1" applyFont="1" applyFill="1" applyBorder="1"/>
    <xf numFmtId="176" fontId="20" fillId="0" borderId="22" xfId="0" applyNumberFormat="1" applyFont="1" applyBorder="1" applyAlignment="1">
      <alignment horizontal="right"/>
    </xf>
    <xf numFmtId="0" fontId="15" fillId="19" borderId="0" xfId="0" applyFont="1" applyFill="1" applyAlignment="1">
      <alignment horizontal="center"/>
    </xf>
    <xf numFmtId="171" fontId="4" fillId="5" borderId="0" xfId="0" applyNumberFormat="1" applyFont="1" applyFill="1" applyAlignment="1">
      <alignment horizontal="center"/>
    </xf>
    <xf numFmtId="171" fontId="0" fillId="5" borderId="0" xfId="0" applyNumberFormat="1" applyFill="1" applyAlignment="1">
      <alignment horizontal="center"/>
    </xf>
    <xf numFmtId="174" fontId="1" fillId="14" borderId="12" xfId="11" applyNumberFormat="1" applyFont="1"/>
    <xf numFmtId="169" fontId="1" fillId="14" borderId="12" xfId="11" applyNumberFormat="1" applyFont="1"/>
    <xf numFmtId="2" fontId="1" fillId="14" borderId="12" xfId="11" applyNumberFormat="1" applyFont="1"/>
    <xf numFmtId="3" fontId="5" fillId="0" borderId="0" xfId="4" applyNumberFormat="1" applyAlignment="1">
      <alignment vertical="center"/>
    </xf>
    <xf numFmtId="0" fontId="5" fillId="0" borderId="0" xfId="4" applyAlignment="1">
      <alignment horizontal="center" vertical="center" wrapText="1"/>
    </xf>
    <xf numFmtId="0" fontId="5" fillId="0" borderId="0" xfId="4" applyAlignment="1">
      <alignment vertical="center" wrapText="1"/>
    </xf>
    <xf numFmtId="169" fontId="5" fillId="0" borderId="0" xfId="1" applyNumberFormat="1" applyFont="1" applyAlignment="1">
      <alignment horizontal="center" vertical="center"/>
    </xf>
    <xf numFmtId="10" fontId="5" fillId="0" borderId="0" xfId="4" applyNumberFormat="1"/>
    <xf numFmtId="174" fontId="4" fillId="0" borderId="0" xfId="0" applyNumberFormat="1" applyFont="1"/>
    <xf numFmtId="166" fontId="4" fillId="2" borderId="0" xfId="1" applyNumberFormat="1" applyFont="1" applyFill="1"/>
    <xf numFmtId="179" fontId="44" fillId="22" borderId="0" xfId="0" applyNumberFormat="1" applyFont="1" applyFill="1"/>
    <xf numFmtId="177" fontId="16" fillId="0" borderId="0" xfId="0" applyNumberFormat="1" applyFont="1" applyAlignment="1">
      <alignment horizontal="center"/>
    </xf>
    <xf numFmtId="7" fontId="17" fillId="0" borderId="0" xfId="0" applyNumberFormat="1" applyFont="1" applyAlignment="1">
      <alignment horizontal="right"/>
    </xf>
    <xf numFmtId="176" fontId="4" fillId="0" borderId="0" xfId="0" applyNumberFormat="1" applyFont="1" applyAlignment="1">
      <alignment horizontal="right"/>
    </xf>
    <xf numFmtId="178" fontId="4" fillId="0" borderId="0" xfId="0" applyNumberFormat="1" applyFont="1" applyAlignment="1">
      <alignment horizontal="center"/>
    </xf>
    <xf numFmtId="179" fontId="44" fillId="0" borderId="0" xfId="0" applyNumberFormat="1" applyFont="1"/>
    <xf numFmtId="179" fontId="44" fillId="22" borderId="8" xfId="0" applyNumberFormat="1" applyFont="1" applyFill="1" applyBorder="1"/>
    <xf numFmtId="179" fontId="44" fillId="0" borderId="7" xfId="0" applyNumberFormat="1" applyFont="1" applyBorder="1"/>
    <xf numFmtId="176" fontId="20" fillId="0" borderId="0" xfId="0" applyNumberFormat="1" applyFont="1" applyAlignment="1">
      <alignment horizontal="right"/>
    </xf>
    <xf numFmtId="179" fontId="17" fillId="22" borderId="0" xfId="0" applyNumberFormat="1" applyFont="1" applyFill="1" applyAlignment="1">
      <alignment horizontal="right"/>
    </xf>
    <xf numFmtId="176" fontId="20" fillId="0" borderId="15" xfId="0" applyNumberFormat="1" applyFont="1" applyBorder="1" applyAlignment="1">
      <alignment horizontal="right"/>
    </xf>
    <xf numFmtId="179" fontId="20" fillId="22" borderId="0" xfId="0" applyNumberFormat="1" applyFont="1" applyFill="1" applyAlignment="1">
      <alignment horizontal="right"/>
    </xf>
    <xf numFmtId="0" fontId="0" fillId="0" borderId="0" xfId="0" applyAlignment="1">
      <alignment vertical="center"/>
    </xf>
    <xf numFmtId="10" fontId="31" fillId="16" borderId="0" xfId="1" applyNumberFormat="1" applyFont="1" applyFill="1" applyBorder="1" applyAlignment="1">
      <alignment horizontal="center"/>
    </xf>
    <xf numFmtId="37" fontId="56" fillId="16" borderId="0" xfId="0" applyNumberFormat="1" applyFont="1" applyFill="1" applyAlignment="1">
      <alignment horizontal="center"/>
    </xf>
    <xf numFmtId="0" fontId="57" fillId="5" borderId="0" xfId="4" applyFont="1" applyFill="1" applyAlignment="1">
      <alignment horizontal="centerContinuous" vertical="center"/>
    </xf>
    <xf numFmtId="0" fontId="4" fillId="5" borderId="7" xfId="4" quotePrefix="1" applyFont="1" applyFill="1" applyBorder="1" applyAlignment="1">
      <alignment horizontal="center" vertical="center"/>
    </xf>
    <xf numFmtId="0" fontId="4" fillId="0" borderId="0" xfId="4" quotePrefix="1" applyFont="1" applyAlignment="1">
      <alignment horizontal="center" vertical="center"/>
    </xf>
    <xf numFmtId="165" fontId="24" fillId="0" borderId="9" xfId="5" applyNumberFormat="1" applyFont="1" applyBorder="1" applyAlignment="1">
      <alignment horizontal="center"/>
    </xf>
    <xf numFmtId="165" fontId="4" fillId="7" borderId="2" xfId="4" applyNumberFormat="1" applyFont="1" applyFill="1" applyBorder="1" applyAlignment="1">
      <alignment horizontal="center"/>
    </xf>
    <xf numFmtId="165" fontId="4" fillId="7" borderId="7" xfId="4" applyNumberFormat="1" applyFont="1" applyFill="1" applyBorder="1" applyAlignment="1">
      <alignment horizontal="center"/>
    </xf>
    <xf numFmtId="0" fontId="55" fillId="11" borderId="0" xfId="10" applyFont="1" applyFill="1" applyAlignment="1">
      <alignment horizontal="center" vertical="center" textRotation="90"/>
    </xf>
    <xf numFmtId="0" fontId="55" fillId="11" borderId="0" xfId="0" applyFont="1" applyFill="1" applyAlignment="1">
      <alignment horizontal="center"/>
    </xf>
    <xf numFmtId="0" fontId="15" fillId="19" borderId="0" xfId="0" applyFont="1" applyFill="1" applyAlignment="1">
      <alignment horizontal="center"/>
    </xf>
    <xf numFmtId="0" fontId="39" fillId="0" borderId="20" xfId="13" applyFont="1" applyBorder="1" applyAlignment="1">
      <alignment horizontal="center"/>
    </xf>
    <xf numFmtId="0" fontId="39" fillId="0" borderId="0" xfId="13" applyFont="1" applyAlignment="1">
      <alignment horizontal="center"/>
    </xf>
    <xf numFmtId="0" fontId="39" fillId="0" borderId="5" xfId="13" applyFont="1" applyBorder="1" applyAlignment="1">
      <alignment horizontal="center"/>
    </xf>
    <xf numFmtId="0" fontId="39" fillId="0" borderId="25" xfId="13" applyFont="1" applyBorder="1" applyAlignment="1">
      <alignment horizontal="center"/>
    </xf>
    <xf numFmtId="0" fontId="39" fillId="0" borderId="15" xfId="13" applyFont="1" applyBorder="1" applyAlignment="1">
      <alignment horizontal="center"/>
    </xf>
    <xf numFmtId="0" fontId="39" fillId="0" borderId="26" xfId="13" applyFont="1" applyBorder="1" applyAlignment="1">
      <alignment horizontal="center"/>
    </xf>
    <xf numFmtId="0" fontId="0" fillId="16" borderId="0" xfId="0" applyFill="1" applyAlignment="1">
      <alignment horizontal="center" vertical="center" wrapText="1"/>
    </xf>
    <xf numFmtId="0" fontId="4" fillId="0" borderId="4" xfId="0" applyFont="1" applyBorder="1" applyAlignment="1">
      <alignment horizontal="center"/>
    </xf>
    <xf numFmtId="0" fontId="4" fillId="0" borderId="0" xfId="0" applyFont="1" applyAlignment="1">
      <alignment horizontal="center"/>
    </xf>
    <xf numFmtId="0" fontId="15" fillId="18" borderId="10" xfId="0" applyFont="1" applyFill="1" applyBorder="1" applyAlignment="1">
      <alignment horizontal="center"/>
    </xf>
    <xf numFmtId="0" fontId="15" fillId="18" borderId="9" xfId="0" applyFont="1" applyFill="1" applyBorder="1" applyAlignment="1">
      <alignment horizontal="center"/>
    </xf>
    <xf numFmtId="0" fontId="15" fillId="18" borderId="14" xfId="0" applyFont="1" applyFill="1" applyBorder="1" applyAlignment="1">
      <alignment horizontal="center"/>
    </xf>
    <xf numFmtId="3" fontId="7" fillId="10" borderId="0" xfId="4" applyNumberFormat="1" applyFont="1" applyFill="1" applyAlignment="1">
      <alignment horizontal="center" vertical="center"/>
    </xf>
    <xf numFmtId="0" fontId="5" fillId="0" borderId="0" xfId="4" applyAlignment="1">
      <alignment horizontal="center" vertical="center" wrapText="1"/>
    </xf>
    <xf numFmtId="0" fontId="4" fillId="0" borderId="1" xfId="0" applyFont="1" applyBorder="1"/>
    <xf numFmtId="0" fontId="4" fillId="0" borderId="2" xfId="0" applyFont="1" applyBorder="1"/>
    <xf numFmtId="0" fontId="4" fillId="0" borderId="0" xfId="0" applyFont="1"/>
  </cellXfs>
  <cellStyles count="20">
    <cellStyle name="Bad" xfId="10" builtinId="27"/>
    <cellStyle name="Calculation" xfId="11" builtinId="22"/>
    <cellStyle name="Comma" xfId="8" builtinId="3"/>
    <cellStyle name="Comma 2" xfId="7" xr:uid="{C33AE34F-7251-4515-B112-4C750293DDF0}"/>
    <cellStyle name="Comma 2 2" xfId="14" xr:uid="{4DC50186-C727-4FBB-A74E-5FF5AADD9D60}"/>
    <cellStyle name="Currency" xfId="9" builtinId="4"/>
    <cellStyle name="Currency 2" xfId="16" xr:uid="{C4C6EA38-786C-4648-A0E7-7B031CAFD290}"/>
    <cellStyle name="Hyperlink" xfId="12" builtinId="8"/>
    <cellStyle name="Normal" xfId="0" builtinId="0"/>
    <cellStyle name="Normal 2" xfId="2" xr:uid="{5310DBCF-2BD3-4131-88F8-A9ECDA126CD7}"/>
    <cellStyle name="Normal 2 2" xfId="13" xr:uid="{C4B1EF1B-A259-4686-9F2E-15BB2084DDB3}"/>
    <cellStyle name="Normal 2 3" xfId="19" xr:uid="{31728ECD-7D9B-4206-AFA7-020FDBF46E73}"/>
    <cellStyle name="Normal 3" xfId="4" xr:uid="{194206A1-2939-46EC-B1D2-FA9AF9500678}"/>
    <cellStyle name="Normal 3 2" xfId="6" xr:uid="{65C42BBC-4B17-45F8-AEF4-B68C906BEDA8}"/>
    <cellStyle name="Normal 4" xfId="17" xr:uid="{A7329878-8C92-4E1D-A64F-6C6F856217C8}"/>
    <cellStyle name="Percent" xfId="1" builtinId="5"/>
    <cellStyle name="Percent 2" xfId="3" xr:uid="{6365BCAA-9E87-41B7-B600-C66DF76FF3B7}"/>
    <cellStyle name="Percent 2 2" xfId="15" xr:uid="{CAE65720-F869-4EE0-8623-D8E7013FF38D}"/>
    <cellStyle name="Percent 2 3" xfId="18" xr:uid="{AEC21AD3-5F0C-4AED-8312-6DF2E533E8C9}"/>
    <cellStyle name="Percent 3" xfId="5" xr:uid="{D02DBC18-2A5B-471C-BB4B-7399C989DCC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Gross Profit</c:v>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MOD!$I$2:$AC$2</c:f>
              <c:numCache>
                <c:formatCode>General</c:formatCode>
                <c:ptCount val="5"/>
                <c:pt idx="0">
                  <c:v>2019</c:v>
                </c:pt>
                <c:pt idx="1">
                  <c:v>2020</c:v>
                </c:pt>
                <c:pt idx="2">
                  <c:v>2021</c:v>
                </c:pt>
                <c:pt idx="3">
                  <c:v>2022</c:v>
                </c:pt>
                <c:pt idx="4">
                  <c:v>2023</c:v>
                </c:pt>
              </c:numCache>
            </c:numRef>
          </c:cat>
          <c:val>
            <c:numRef>
              <c:f>MOD!$I$36:$AC$36</c:f>
              <c:numCache>
                <c:formatCode>#,##0_);\(#,##0\)</c:formatCode>
                <c:ptCount val="5"/>
                <c:pt idx="0">
                  <c:v>929712</c:v>
                </c:pt>
                <c:pt idx="1">
                  <c:v>802547</c:v>
                </c:pt>
                <c:pt idx="2">
                  <c:v>1452352</c:v>
                </c:pt>
                <c:pt idx="3">
                  <c:v>1775293</c:v>
                </c:pt>
                <c:pt idx="4">
                  <c:v>2266698</c:v>
                </c:pt>
              </c:numCache>
            </c:numRef>
          </c:val>
          <c:smooth val="0"/>
          <c:extLst>
            <c:ext xmlns:c16="http://schemas.microsoft.com/office/drawing/2014/chart" uri="{C3380CC4-5D6E-409C-BE32-E72D297353CC}">
              <c16:uniqueId val="{00000000-2F75-42F2-8553-E98A53424DA4}"/>
            </c:ext>
          </c:extLst>
        </c:ser>
        <c:ser>
          <c:idx val="1"/>
          <c:order val="1"/>
          <c:tx>
            <c:v>Operating Margin</c:v>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MOD!$I$2:$AC$2</c:f>
              <c:numCache>
                <c:formatCode>General</c:formatCode>
                <c:ptCount val="5"/>
                <c:pt idx="0">
                  <c:v>2019</c:v>
                </c:pt>
                <c:pt idx="1">
                  <c:v>2020</c:v>
                </c:pt>
                <c:pt idx="2">
                  <c:v>2021</c:v>
                </c:pt>
                <c:pt idx="3">
                  <c:v>2022</c:v>
                </c:pt>
                <c:pt idx="4">
                  <c:v>2023</c:v>
                </c:pt>
              </c:numCache>
            </c:numRef>
          </c:cat>
          <c:val>
            <c:numRef>
              <c:f>MOD!$I$53:$AC$53</c:f>
              <c:numCache>
                <c:formatCode>#,##0_);\(#,##0\)</c:formatCode>
                <c:ptCount val="5"/>
                <c:pt idx="0">
                  <c:v>443958</c:v>
                </c:pt>
                <c:pt idx="1">
                  <c:v>290164</c:v>
                </c:pt>
                <c:pt idx="2">
                  <c:v>804943</c:v>
                </c:pt>
                <c:pt idx="3">
                  <c:v>1160403</c:v>
                </c:pt>
                <c:pt idx="4">
                  <c:v>1557813</c:v>
                </c:pt>
              </c:numCache>
            </c:numRef>
          </c:val>
          <c:smooth val="0"/>
          <c:extLst>
            <c:ext xmlns:c16="http://schemas.microsoft.com/office/drawing/2014/chart" uri="{C3380CC4-5D6E-409C-BE32-E72D297353CC}">
              <c16:uniqueId val="{00000000-31F2-4DA3-A4B8-1402D90D0860}"/>
            </c:ext>
          </c:extLst>
        </c:ser>
        <c:ser>
          <c:idx val="2"/>
          <c:order val="2"/>
          <c:tx>
            <c:v>Net Margin</c:v>
          </c:tx>
          <c:spPr>
            <a:ln w="19050" cap="rnd" cmpd="sng" algn="ctr">
              <a:solidFill>
                <a:schemeClr val="accent5">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MOD!$I$2:$AC$2</c:f>
              <c:numCache>
                <c:formatCode>General</c:formatCode>
                <c:ptCount val="5"/>
                <c:pt idx="0">
                  <c:v>2019</c:v>
                </c:pt>
                <c:pt idx="1">
                  <c:v>2020</c:v>
                </c:pt>
                <c:pt idx="2">
                  <c:v>2021</c:v>
                </c:pt>
                <c:pt idx="3">
                  <c:v>2022</c:v>
                </c:pt>
                <c:pt idx="4">
                  <c:v>2023</c:v>
                </c:pt>
              </c:numCache>
            </c:numRef>
          </c:cat>
          <c:val>
            <c:numRef>
              <c:f>MOD!$I$67:$AC$67</c:f>
              <c:numCache>
                <c:formatCode>#,##0_);\(#,##0\)</c:formatCode>
                <c:ptCount val="5"/>
                <c:pt idx="0">
                  <c:v>350158</c:v>
                </c:pt>
                <c:pt idx="1">
                  <c:v>355766</c:v>
                </c:pt>
                <c:pt idx="2">
                  <c:v>652984</c:v>
                </c:pt>
                <c:pt idx="3">
                  <c:v>899101</c:v>
                </c:pt>
                <c:pt idx="4">
                  <c:v>1228737</c:v>
                </c:pt>
              </c:numCache>
            </c:numRef>
          </c:val>
          <c:smooth val="0"/>
          <c:extLst>
            <c:ext xmlns:c16="http://schemas.microsoft.com/office/drawing/2014/chart" uri="{C3380CC4-5D6E-409C-BE32-E72D297353CC}">
              <c16:uniqueId val="{00000001-31F2-4DA3-A4B8-1402D90D0860}"/>
            </c:ext>
          </c:extLst>
        </c:ser>
        <c:dLbls>
          <c:dLblPos val="ctr"/>
          <c:showLegendKey val="0"/>
          <c:showVal val="1"/>
          <c:showCatName val="0"/>
          <c:showSerName val="0"/>
          <c:showPercent val="0"/>
          <c:showBubbleSize val="0"/>
        </c:dLbls>
        <c:marker val="1"/>
        <c:smooth val="0"/>
        <c:axId val="617102304"/>
        <c:axId val="617102632"/>
      </c:lineChart>
      <c:catAx>
        <c:axId val="617102304"/>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617102632"/>
        <c:crosses val="autoZero"/>
        <c:auto val="1"/>
        <c:lblAlgn val="ctr"/>
        <c:lblOffset val="100"/>
        <c:noMultiLvlLbl val="0"/>
      </c:catAx>
      <c:valAx>
        <c:axId val="617102632"/>
        <c:scaling>
          <c:orientation val="minMax"/>
        </c:scaling>
        <c:delete val="1"/>
        <c:axPos val="l"/>
        <c:numFmt formatCode="#,##0_);\(#,##0\)" sourceLinked="1"/>
        <c:majorTickMark val="out"/>
        <c:minorTickMark val="none"/>
        <c:tickLblPos val="nextTo"/>
        <c:crossAx val="617102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MOD!$B$36</c:f>
              <c:strCache>
                <c:ptCount val="1"/>
                <c:pt idx="0">
                  <c:v>Gross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MOD!$I$2:$AC$2</c:f>
              <c:numCache>
                <c:formatCode>General</c:formatCode>
                <c:ptCount val="5"/>
                <c:pt idx="0">
                  <c:v>2019</c:v>
                </c:pt>
                <c:pt idx="1">
                  <c:v>2020</c:v>
                </c:pt>
                <c:pt idx="2">
                  <c:v>2021</c:v>
                </c:pt>
                <c:pt idx="3">
                  <c:v>2022</c:v>
                </c:pt>
                <c:pt idx="4">
                  <c:v>2023</c:v>
                </c:pt>
              </c:numCache>
            </c:numRef>
          </c:cat>
          <c:val>
            <c:numRef>
              <c:f>MOD!$I$36:$AC$36</c:f>
              <c:numCache>
                <c:formatCode>#,##0_);\(#,##0\)</c:formatCode>
                <c:ptCount val="5"/>
                <c:pt idx="0">
                  <c:v>929712</c:v>
                </c:pt>
                <c:pt idx="1">
                  <c:v>802547</c:v>
                </c:pt>
                <c:pt idx="2">
                  <c:v>1452352</c:v>
                </c:pt>
                <c:pt idx="3">
                  <c:v>1775293</c:v>
                </c:pt>
                <c:pt idx="4">
                  <c:v>2266698</c:v>
                </c:pt>
              </c:numCache>
            </c:numRef>
          </c:val>
          <c:smooth val="0"/>
          <c:extLst>
            <c:ext xmlns:c16="http://schemas.microsoft.com/office/drawing/2014/chart" uri="{C3380CC4-5D6E-409C-BE32-E72D297353CC}">
              <c16:uniqueId val="{00000000-4541-4C52-BABC-46E7131E1CAF}"/>
            </c:ext>
          </c:extLst>
        </c:ser>
        <c:dLbls>
          <c:showLegendKey val="0"/>
          <c:showVal val="0"/>
          <c:showCatName val="0"/>
          <c:showSerName val="0"/>
          <c:showPercent val="0"/>
          <c:showBubbleSize val="0"/>
        </c:dLbls>
        <c:marker val="1"/>
        <c:smooth val="0"/>
        <c:axId val="458947048"/>
        <c:axId val="458946064"/>
      </c:lineChart>
      <c:catAx>
        <c:axId val="458947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46064"/>
        <c:crosses val="autoZero"/>
        <c:auto val="1"/>
        <c:lblAlgn val="ctr"/>
        <c:lblOffset val="100"/>
        <c:noMultiLvlLbl val="0"/>
      </c:catAx>
      <c:valAx>
        <c:axId val="458946064"/>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947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MOD!$B$53</c:f>
              <c:strCache>
                <c:ptCount val="1"/>
                <c:pt idx="0">
                  <c:v>Income from operations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MOD!$I$2:$AC$2</c:f>
              <c:numCache>
                <c:formatCode>General</c:formatCode>
                <c:ptCount val="5"/>
                <c:pt idx="0">
                  <c:v>2019</c:v>
                </c:pt>
                <c:pt idx="1">
                  <c:v>2020</c:v>
                </c:pt>
                <c:pt idx="2">
                  <c:v>2021</c:v>
                </c:pt>
                <c:pt idx="3">
                  <c:v>2022</c:v>
                </c:pt>
                <c:pt idx="4">
                  <c:v>2023</c:v>
                </c:pt>
              </c:numCache>
            </c:numRef>
          </c:cat>
          <c:val>
            <c:numRef>
              <c:f>MOD!$I$53:$AC$53</c:f>
              <c:numCache>
                <c:formatCode>#,##0_);\(#,##0\)</c:formatCode>
                <c:ptCount val="5"/>
                <c:pt idx="0">
                  <c:v>443958</c:v>
                </c:pt>
                <c:pt idx="1">
                  <c:v>290164</c:v>
                </c:pt>
                <c:pt idx="2">
                  <c:v>804943</c:v>
                </c:pt>
                <c:pt idx="3">
                  <c:v>1160403</c:v>
                </c:pt>
                <c:pt idx="4">
                  <c:v>1557813</c:v>
                </c:pt>
              </c:numCache>
            </c:numRef>
          </c:val>
          <c:smooth val="0"/>
          <c:extLst>
            <c:ext xmlns:c16="http://schemas.microsoft.com/office/drawing/2014/chart" uri="{C3380CC4-5D6E-409C-BE32-E72D297353CC}">
              <c16:uniqueId val="{00000000-5EF0-49E5-A5C5-D04C13F4FCE4}"/>
            </c:ext>
          </c:extLst>
        </c:ser>
        <c:dLbls>
          <c:showLegendKey val="0"/>
          <c:showVal val="0"/>
          <c:showCatName val="0"/>
          <c:showSerName val="0"/>
          <c:showPercent val="0"/>
          <c:showBubbleSize val="0"/>
        </c:dLbls>
        <c:marker val="1"/>
        <c:smooth val="0"/>
        <c:axId val="654806336"/>
        <c:axId val="654806664"/>
      </c:lineChart>
      <c:catAx>
        <c:axId val="65480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806664"/>
        <c:crosses val="autoZero"/>
        <c:auto val="1"/>
        <c:lblAlgn val="ctr"/>
        <c:lblOffset val="100"/>
        <c:noMultiLvlLbl val="0"/>
      </c:catAx>
      <c:valAx>
        <c:axId val="654806664"/>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80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MOD!$B$67</c:f>
              <c:strCache>
                <c:ptCount val="1"/>
                <c:pt idx="0">
                  <c:v>Net income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MOD!$I$2:$AC$2</c:f>
              <c:numCache>
                <c:formatCode>General</c:formatCode>
                <c:ptCount val="5"/>
                <c:pt idx="0">
                  <c:v>2019</c:v>
                </c:pt>
                <c:pt idx="1">
                  <c:v>2020</c:v>
                </c:pt>
                <c:pt idx="2">
                  <c:v>2021</c:v>
                </c:pt>
                <c:pt idx="3">
                  <c:v>2022</c:v>
                </c:pt>
                <c:pt idx="4">
                  <c:v>2023</c:v>
                </c:pt>
              </c:numCache>
            </c:numRef>
          </c:cat>
          <c:val>
            <c:numRef>
              <c:f>MOD!$I$67:$AC$67</c:f>
              <c:numCache>
                <c:formatCode>#,##0_);\(#,##0\)</c:formatCode>
                <c:ptCount val="5"/>
                <c:pt idx="0">
                  <c:v>350158</c:v>
                </c:pt>
                <c:pt idx="1">
                  <c:v>355766</c:v>
                </c:pt>
                <c:pt idx="2">
                  <c:v>652984</c:v>
                </c:pt>
                <c:pt idx="3">
                  <c:v>899101</c:v>
                </c:pt>
                <c:pt idx="4">
                  <c:v>1228737</c:v>
                </c:pt>
              </c:numCache>
            </c:numRef>
          </c:val>
          <c:smooth val="0"/>
          <c:extLst>
            <c:ext xmlns:c16="http://schemas.microsoft.com/office/drawing/2014/chart" uri="{C3380CC4-5D6E-409C-BE32-E72D297353CC}">
              <c16:uniqueId val="{00000000-A3A9-41A1-860F-DE07A0FFFE73}"/>
            </c:ext>
          </c:extLst>
        </c:ser>
        <c:dLbls>
          <c:showLegendKey val="0"/>
          <c:showVal val="0"/>
          <c:showCatName val="0"/>
          <c:showSerName val="0"/>
          <c:showPercent val="0"/>
          <c:showBubbleSize val="0"/>
        </c:dLbls>
        <c:marker val="1"/>
        <c:smooth val="0"/>
        <c:axId val="610670944"/>
        <c:axId val="610670288"/>
      </c:lineChart>
      <c:catAx>
        <c:axId val="61067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670288"/>
        <c:crosses val="autoZero"/>
        <c:auto val="1"/>
        <c:lblAlgn val="ctr"/>
        <c:lblOffset val="100"/>
        <c:noMultiLvlLbl val="0"/>
      </c:catAx>
      <c:valAx>
        <c:axId val="610670288"/>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67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CRM Results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SUM!$D$53</c:f>
              <c:strCache>
                <c:ptCount val="1"/>
                <c:pt idx="0">
                  <c:v>Gift Card liability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SUM!$E$52:$R$52</c:f>
              <c:strCache>
                <c:ptCount val="13"/>
                <c:pt idx="0">
                  <c:v>2021 Q1</c:v>
                </c:pt>
                <c:pt idx="1">
                  <c:v>2021 Q2</c:v>
                </c:pt>
                <c:pt idx="2">
                  <c:v>2021 Q3</c:v>
                </c:pt>
                <c:pt idx="3">
                  <c:v>2021 FY</c:v>
                </c:pt>
                <c:pt idx="4">
                  <c:v>2022 Q1</c:v>
                </c:pt>
                <c:pt idx="5">
                  <c:v>2022 Q2</c:v>
                </c:pt>
                <c:pt idx="6">
                  <c:v>2022 Q3</c:v>
                </c:pt>
                <c:pt idx="7">
                  <c:v>2022 FY</c:v>
                </c:pt>
                <c:pt idx="8">
                  <c:v>2023 Q1</c:v>
                </c:pt>
                <c:pt idx="9">
                  <c:v>2023 Q2</c:v>
                </c:pt>
                <c:pt idx="10">
                  <c:v>2023 Q3</c:v>
                </c:pt>
                <c:pt idx="11">
                  <c:v>22023 FY</c:v>
                </c:pt>
                <c:pt idx="12">
                  <c:v>2024 Q1</c:v>
                </c:pt>
              </c:strCache>
            </c:strRef>
          </c:cat>
          <c:val>
            <c:numRef>
              <c:f>SUM!$E$53:$R$53</c:f>
              <c:numCache>
                <c:formatCode>General</c:formatCode>
                <c:ptCount val="13"/>
                <c:pt idx="0">
                  <c:v>86272</c:v>
                </c:pt>
                <c:pt idx="1">
                  <c:v>87964</c:v>
                </c:pt>
                <c:pt idx="2">
                  <c:v>86169</c:v>
                </c:pt>
                <c:pt idx="3">
                  <c:v>130779</c:v>
                </c:pt>
                <c:pt idx="4">
                  <c:v>104402</c:v>
                </c:pt>
                <c:pt idx="5">
                  <c:v>103065</c:v>
                </c:pt>
                <c:pt idx="6">
                  <c:v>101307</c:v>
                </c:pt>
                <c:pt idx="7">
                  <c:v>145014</c:v>
                </c:pt>
                <c:pt idx="8">
                  <c:v>118684</c:v>
                </c:pt>
                <c:pt idx="9">
                  <c:v>118036</c:v>
                </c:pt>
                <c:pt idx="10">
                  <c:v>115244</c:v>
                </c:pt>
                <c:pt idx="11">
                  <c:v>164930</c:v>
                </c:pt>
                <c:pt idx="12">
                  <c:v>139993</c:v>
                </c:pt>
              </c:numCache>
            </c:numRef>
          </c:val>
          <c:smooth val="0"/>
          <c:extLst>
            <c:ext xmlns:c16="http://schemas.microsoft.com/office/drawing/2014/chart" uri="{C3380CC4-5D6E-409C-BE32-E72D297353CC}">
              <c16:uniqueId val="{00000000-C5A8-433D-9253-0349DE163ABF}"/>
            </c:ext>
          </c:extLst>
        </c:ser>
        <c:ser>
          <c:idx val="1"/>
          <c:order val="1"/>
          <c:tx>
            <c:strRef>
              <c:f>SUM!$D$54</c:f>
              <c:strCache>
                <c:ptCount val="1"/>
                <c:pt idx="0">
                  <c:v>Chipotle Rewards liability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SUM!$E$52:$R$52</c:f>
              <c:strCache>
                <c:ptCount val="13"/>
                <c:pt idx="0">
                  <c:v>2021 Q1</c:v>
                </c:pt>
                <c:pt idx="1">
                  <c:v>2021 Q2</c:v>
                </c:pt>
                <c:pt idx="2">
                  <c:v>2021 Q3</c:v>
                </c:pt>
                <c:pt idx="3">
                  <c:v>2021 FY</c:v>
                </c:pt>
                <c:pt idx="4">
                  <c:v>2022 Q1</c:v>
                </c:pt>
                <c:pt idx="5">
                  <c:v>2022 Q2</c:v>
                </c:pt>
                <c:pt idx="6">
                  <c:v>2022 Q3</c:v>
                </c:pt>
                <c:pt idx="7">
                  <c:v>2022 FY</c:v>
                </c:pt>
                <c:pt idx="8">
                  <c:v>2023 Q1</c:v>
                </c:pt>
                <c:pt idx="9">
                  <c:v>2023 Q2</c:v>
                </c:pt>
                <c:pt idx="10">
                  <c:v>2023 Q3</c:v>
                </c:pt>
                <c:pt idx="11">
                  <c:v>22023 FY</c:v>
                </c:pt>
                <c:pt idx="12">
                  <c:v>2024 Q1</c:v>
                </c:pt>
              </c:strCache>
            </c:strRef>
          </c:cat>
          <c:val>
            <c:numRef>
              <c:f>SUM!$E$54:$R$54</c:f>
              <c:numCache>
                <c:formatCode>General</c:formatCode>
                <c:ptCount val="13"/>
                <c:pt idx="0">
                  <c:v>23925</c:v>
                </c:pt>
                <c:pt idx="1">
                  <c:v>25052</c:v>
                </c:pt>
                <c:pt idx="2">
                  <c:v>34254</c:v>
                </c:pt>
                <c:pt idx="3">
                  <c:v>25572</c:v>
                </c:pt>
                <c:pt idx="4">
                  <c:v>28019</c:v>
                </c:pt>
                <c:pt idx="5">
                  <c:v>29381</c:v>
                </c:pt>
                <c:pt idx="6">
                  <c:v>31811</c:v>
                </c:pt>
                <c:pt idx="7">
                  <c:v>38057</c:v>
                </c:pt>
                <c:pt idx="8">
                  <c:v>39214</c:v>
                </c:pt>
                <c:pt idx="9">
                  <c:v>40923</c:v>
                </c:pt>
                <c:pt idx="10">
                  <c:v>41076</c:v>
                </c:pt>
                <c:pt idx="11">
                  <c:v>44750</c:v>
                </c:pt>
                <c:pt idx="12">
                  <c:v>47324</c:v>
                </c:pt>
              </c:numCache>
            </c:numRef>
          </c:val>
          <c:smooth val="0"/>
          <c:extLst>
            <c:ext xmlns:c16="http://schemas.microsoft.com/office/drawing/2014/chart" uri="{C3380CC4-5D6E-409C-BE32-E72D297353CC}">
              <c16:uniqueId val="{00000001-C5A8-433D-9253-0349DE163ABF}"/>
            </c:ext>
          </c:extLst>
        </c:ser>
        <c:dLbls>
          <c:showLegendKey val="0"/>
          <c:showVal val="0"/>
          <c:showCatName val="0"/>
          <c:showSerName val="0"/>
          <c:showPercent val="0"/>
          <c:showBubbleSize val="0"/>
        </c:dLbls>
        <c:marker val="1"/>
        <c:smooth val="0"/>
        <c:axId val="534524496"/>
        <c:axId val="449907912"/>
      </c:lineChart>
      <c:catAx>
        <c:axId val="53452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907912"/>
        <c:crosses val="autoZero"/>
        <c:auto val="1"/>
        <c:lblAlgn val="ctr"/>
        <c:lblOffset val="100"/>
        <c:noMultiLvlLbl val="0"/>
      </c:catAx>
      <c:valAx>
        <c:axId val="449907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2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within 3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'CMG Comps &amp; market share'!$E$49</c:f>
              <c:strCache>
                <c:ptCount val="1"/>
                <c:pt idx="0">
                  <c:v>21</c:v>
                </c:pt>
              </c:strCache>
            </c:strRef>
          </c:tx>
          <c:spPr>
            <a:solidFill>
              <a:schemeClr val="accent1"/>
            </a:solidFill>
            <a:ln>
              <a:noFill/>
            </a:ln>
            <a:effectLst/>
          </c:spPr>
          <c:invertIfNegative val="0"/>
          <c:cat>
            <c:strRef>
              <c:f>'CMG Comps &amp; market share'!$D$50:$D$57</c:f>
              <c:strCache>
                <c:ptCount val="8"/>
                <c:pt idx="0">
                  <c:v>CMG-US</c:v>
                </c:pt>
                <c:pt idx="1">
                  <c:v>SBUX-US</c:v>
                </c:pt>
                <c:pt idx="2">
                  <c:v>WEN-US</c:v>
                </c:pt>
                <c:pt idx="3">
                  <c:v>YUM-US</c:v>
                </c:pt>
                <c:pt idx="4">
                  <c:v>MCD-US</c:v>
                </c:pt>
                <c:pt idx="5">
                  <c:v>QSR-US</c:v>
                </c:pt>
                <c:pt idx="6">
                  <c:v>DPZ-US</c:v>
                </c:pt>
                <c:pt idx="7">
                  <c:v>DRI-US</c:v>
                </c:pt>
              </c:strCache>
            </c:strRef>
          </c:cat>
          <c:val>
            <c:numRef>
              <c:f>'CMG Comps &amp; market share'!$E$50:$E$57</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5F9F-4B2E-A92D-43CA53189378}"/>
            </c:ext>
          </c:extLst>
        </c:ser>
        <c:ser>
          <c:idx val="1"/>
          <c:order val="1"/>
          <c:tx>
            <c:strRef>
              <c:f>'CMG Comps &amp; market share'!$F$49</c:f>
              <c:strCache>
                <c:ptCount val="1"/>
                <c:pt idx="0">
                  <c:v>22</c:v>
                </c:pt>
              </c:strCache>
            </c:strRef>
          </c:tx>
          <c:spPr>
            <a:solidFill>
              <a:schemeClr val="accent2"/>
            </a:solidFill>
            <a:ln>
              <a:noFill/>
            </a:ln>
            <a:effectLst/>
          </c:spPr>
          <c:invertIfNegative val="0"/>
          <c:cat>
            <c:strRef>
              <c:f>'CMG Comps &amp; market share'!$D$50:$D$57</c:f>
              <c:strCache>
                <c:ptCount val="8"/>
                <c:pt idx="0">
                  <c:v>CMG-US</c:v>
                </c:pt>
                <c:pt idx="1">
                  <c:v>SBUX-US</c:v>
                </c:pt>
                <c:pt idx="2">
                  <c:v>WEN-US</c:v>
                </c:pt>
                <c:pt idx="3">
                  <c:v>YUM-US</c:v>
                </c:pt>
                <c:pt idx="4">
                  <c:v>MCD-US</c:v>
                </c:pt>
                <c:pt idx="5">
                  <c:v>QSR-US</c:v>
                </c:pt>
                <c:pt idx="6">
                  <c:v>DPZ-US</c:v>
                </c:pt>
                <c:pt idx="7">
                  <c:v>DRI-US</c:v>
                </c:pt>
              </c:strCache>
            </c:strRef>
          </c:cat>
          <c:val>
            <c:numRef>
              <c:f>'CMG Comps &amp; market share'!$F$50:$F$57</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5F9F-4B2E-A92D-43CA53189378}"/>
            </c:ext>
          </c:extLst>
        </c:ser>
        <c:ser>
          <c:idx val="2"/>
          <c:order val="2"/>
          <c:tx>
            <c:strRef>
              <c:f>'CMG Comps &amp; market share'!$G$49</c:f>
              <c:strCache>
                <c:ptCount val="1"/>
                <c:pt idx="0">
                  <c:v>23</c:v>
                </c:pt>
              </c:strCache>
            </c:strRef>
          </c:tx>
          <c:spPr>
            <a:solidFill>
              <a:schemeClr val="accent3"/>
            </a:solidFill>
            <a:ln>
              <a:noFill/>
            </a:ln>
            <a:effectLst/>
          </c:spPr>
          <c:invertIfNegative val="0"/>
          <c:cat>
            <c:strRef>
              <c:f>'CMG Comps &amp; market share'!$D$50:$D$57</c:f>
              <c:strCache>
                <c:ptCount val="8"/>
                <c:pt idx="0">
                  <c:v>CMG-US</c:v>
                </c:pt>
                <c:pt idx="1">
                  <c:v>SBUX-US</c:v>
                </c:pt>
                <c:pt idx="2">
                  <c:v>WEN-US</c:v>
                </c:pt>
                <c:pt idx="3">
                  <c:v>YUM-US</c:v>
                </c:pt>
                <c:pt idx="4">
                  <c:v>MCD-US</c:v>
                </c:pt>
                <c:pt idx="5">
                  <c:v>QSR-US</c:v>
                </c:pt>
                <c:pt idx="6">
                  <c:v>DPZ-US</c:v>
                </c:pt>
                <c:pt idx="7">
                  <c:v>DRI-US</c:v>
                </c:pt>
              </c:strCache>
            </c:strRef>
          </c:cat>
          <c:val>
            <c:numRef>
              <c:f>'CMG Comps &amp; market share'!$G$50:$G$57</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5F9F-4B2E-A92D-43CA53189378}"/>
            </c:ext>
          </c:extLst>
        </c:ser>
        <c:dLbls>
          <c:showLegendKey val="0"/>
          <c:showVal val="0"/>
          <c:showCatName val="0"/>
          <c:showSerName val="0"/>
          <c:showPercent val="0"/>
          <c:showBubbleSize val="0"/>
        </c:dLbls>
        <c:gapWidth val="219"/>
        <c:axId val="447125288"/>
        <c:axId val="447121024"/>
      </c:barChart>
      <c:catAx>
        <c:axId val="44712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121024"/>
        <c:crosses val="autoZero"/>
        <c:auto val="1"/>
        <c:lblAlgn val="ctr"/>
        <c:lblOffset val="100"/>
        <c:noMultiLvlLbl val="0"/>
      </c:catAx>
      <c:valAx>
        <c:axId val="44712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125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'CMG Comps &amp; market share'!$F$48</c:f>
              <c:strCache>
                <c:ptCount val="1"/>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D489-4E43-8C45-86786F24A90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D489-4E43-8C45-86786F24A90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D489-4E43-8C45-86786F24A90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D489-4E43-8C45-86786F24A90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D489-4E43-8C45-86786F24A90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D489-4E43-8C45-86786F24A90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D489-4E43-8C45-86786F24A90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D489-4E43-8C45-86786F24A90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'CMG Comps &amp; market share'!$D$50:$D$57</c:f>
              <c:strCache>
                <c:ptCount val="8"/>
                <c:pt idx="0">
                  <c:v>CMG-US</c:v>
                </c:pt>
                <c:pt idx="1">
                  <c:v>SBUX-US</c:v>
                </c:pt>
                <c:pt idx="2">
                  <c:v>WEN-US</c:v>
                </c:pt>
                <c:pt idx="3">
                  <c:v>YUM-US</c:v>
                </c:pt>
                <c:pt idx="4">
                  <c:v>MCD-US</c:v>
                </c:pt>
                <c:pt idx="5">
                  <c:v>QSR-US</c:v>
                </c:pt>
                <c:pt idx="6">
                  <c:v>DPZ-US</c:v>
                </c:pt>
                <c:pt idx="7">
                  <c:v>DRI-US</c:v>
                </c:pt>
              </c:strCache>
            </c:strRef>
          </c:cat>
          <c:val>
            <c:numRef>
              <c:f>'CMG Comps &amp; market share'!$G$50:$G$57</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8D97-4146-BC0D-D598039EC34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'CMG restaurant activity'!$A$40</c:f>
              <c:strCache>
                <c:ptCount val="1"/>
                <c:pt idx="0">
                  <c:v>Total restaurants at end of period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'CMG restaurant activity'!$B$33:$J$33</c:f>
              <c:numCache>
                <c:formatCode>General</c:formatCode>
                <c:ptCount val="9"/>
                <c:pt idx="0">
                  <c:v>2023</c:v>
                </c:pt>
                <c:pt idx="2">
                  <c:v>2022</c:v>
                </c:pt>
                <c:pt idx="4">
                  <c:v>2021</c:v>
                </c:pt>
                <c:pt idx="6">
                  <c:v>2020</c:v>
                </c:pt>
                <c:pt idx="8">
                  <c:v>2019</c:v>
                </c:pt>
              </c:numCache>
            </c:numRef>
          </c:cat>
          <c:val>
            <c:numRef>
              <c:f>'CMG restaurant activity'!$B$40:$J$40</c:f>
              <c:numCache>
                <c:formatCode>General</c:formatCode>
                <c:ptCount val="9"/>
                <c:pt idx="0" formatCode="#,##0">
                  <c:v>3437</c:v>
                </c:pt>
                <c:pt idx="2" formatCode="#,##0">
                  <c:v>3187</c:v>
                </c:pt>
                <c:pt idx="4" formatCode="#,##0">
                  <c:v>2966</c:v>
                </c:pt>
                <c:pt idx="6" formatCode="#,##0">
                  <c:v>2768</c:v>
                </c:pt>
                <c:pt idx="8" formatCode="#,##0">
                  <c:v>2622</c:v>
                </c:pt>
              </c:numCache>
            </c:numRef>
          </c:val>
          <c:extLst>
            <c:ext xmlns:c16="http://schemas.microsoft.com/office/drawing/2014/chart" uri="{C3380CC4-5D6E-409C-BE32-E72D297353CC}">
              <c16:uniqueId val="{00000000-AD21-479A-8FA7-2F4EBA6C27D4}"/>
            </c:ext>
          </c:extLst>
        </c:ser>
        <c:ser>
          <c:idx val="1"/>
          <c:order val="1"/>
          <c:tx>
            <c:strRef>
              <c:f>'CMG restaurant activity'!$A$41</c:f>
              <c:strCache>
                <c:ptCount val="1"/>
                <c:pt idx="0">
                  <c:v>Total changes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'CMG restaurant activity'!$B$33:$J$33</c:f>
              <c:numCache>
                <c:formatCode>General</c:formatCode>
                <c:ptCount val="9"/>
                <c:pt idx="0">
                  <c:v>2023</c:v>
                </c:pt>
                <c:pt idx="2">
                  <c:v>2022</c:v>
                </c:pt>
                <c:pt idx="4">
                  <c:v>2021</c:v>
                </c:pt>
                <c:pt idx="6">
                  <c:v>2020</c:v>
                </c:pt>
                <c:pt idx="8">
                  <c:v>2019</c:v>
                </c:pt>
              </c:numCache>
            </c:numRef>
          </c:cat>
          <c:val>
            <c:numRef>
              <c:f>'CMG restaurant activity'!$B$41:$J$41</c:f>
              <c:numCache>
                <c:formatCode>General</c:formatCode>
                <c:ptCount val="9"/>
                <c:pt idx="0" formatCode="#,##0">
                  <c:v>250</c:v>
                </c:pt>
                <c:pt idx="2" formatCode="#,##0">
                  <c:v>221</c:v>
                </c:pt>
                <c:pt idx="4" formatCode="#,##0">
                  <c:v>198</c:v>
                </c:pt>
                <c:pt idx="6" formatCode="#,##0">
                  <c:v>146</c:v>
                </c:pt>
              </c:numCache>
            </c:numRef>
          </c:val>
          <c:extLst>
            <c:ext xmlns:c16="http://schemas.microsoft.com/office/drawing/2014/chart" uri="{C3380CC4-5D6E-409C-BE32-E72D297353CC}">
              <c16:uniqueId val="{00000001-AD21-479A-8FA7-2F4EBA6C27D4}"/>
            </c:ext>
          </c:extLst>
        </c:ser>
        <c:dLbls>
          <c:dLblPos val="ctr"/>
          <c:showLegendKey val="0"/>
          <c:showVal val="1"/>
          <c:showCatName val="0"/>
          <c:showSerName val="0"/>
          <c:showPercent val="0"/>
          <c:showBubbleSize val="0"/>
        </c:dLbls>
        <c:gapWidth val="79"/>
        <c:overlap val="100"/>
        <c:axId val="617113512"/>
        <c:axId val="617119416"/>
      </c:barChart>
      <c:catAx>
        <c:axId val="617113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7119416"/>
        <c:crosses val="autoZero"/>
        <c:auto val="1"/>
        <c:lblAlgn val="ctr"/>
        <c:lblOffset val="100"/>
        <c:noMultiLvlLbl val="0"/>
      </c:catAx>
      <c:valAx>
        <c:axId val="617119416"/>
        <c:scaling>
          <c:orientation val="minMax"/>
        </c:scaling>
        <c:delete val="1"/>
        <c:axPos val="l"/>
        <c:numFmt formatCode="#,##0" sourceLinked="1"/>
        <c:majorTickMark val="none"/>
        <c:minorTickMark val="none"/>
        <c:tickLblPos val="nextTo"/>
        <c:crossAx val="6171135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chart" Target="../charts/chart6.xml"/><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36</xdr:col>
      <xdr:colOff>173691</xdr:colOff>
      <xdr:row>4</xdr:row>
      <xdr:rowOff>51547</xdr:rowOff>
    </xdr:from>
    <xdr:to>
      <xdr:col>43</xdr:col>
      <xdr:colOff>588309</xdr:colOff>
      <xdr:row>23</xdr:row>
      <xdr:rowOff>127747</xdr:rowOff>
    </xdr:to>
    <xdr:graphicFrame macro="">
      <xdr:nvGraphicFramePr>
        <xdr:cNvPr id="2" name="Chart 1">
          <a:extLst>
            <a:ext uri="{FF2B5EF4-FFF2-40B4-BE49-F238E27FC236}">
              <a16:creationId xmlns:a16="http://schemas.microsoft.com/office/drawing/2014/main" id="{0BE99AAC-9004-4F92-9BE0-999967EFF8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179294</xdr:colOff>
      <xdr:row>26</xdr:row>
      <xdr:rowOff>17929</xdr:rowOff>
    </xdr:from>
    <xdr:to>
      <xdr:col>44</xdr:col>
      <xdr:colOff>0</xdr:colOff>
      <xdr:row>40</xdr:row>
      <xdr:rowOff>94129</xdr:rowOff>
    </xdr:to>
    <xdr:graphicFrame macro="">
      <xdr:nvGraphicFramePr>
        <xdr:cNvPr id="3" name="Chart 2">
          <a:extLst>
            <a:ext uri="{FF2B5EF4-FFF2-40B4-BE49-F238E27FC236}">
              <a16:creationId xmlns:a16="http://schemas.microsoft.com/office/drawing/2014/main" id="{685B6475-3E11-4157-B248-BFAA7E109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168088</xdr:colOff>
      <xdr:row>42</xdr:row>
      <xdr:rowOff>51547</xdr:rowOff>
    </xdr:from>
    <xdr:to>
      <xdr:col>43</xdr:col>
      <xdr:colOff>582706</xdr:colOff>
      <xdr:row>58</xdr:row>
      <xdr:rowOff>127747</xdr:rowOff>
    </xdr:to>
    <xdr:graphicFrame macro="">
      <xdr:nvGraphicFramePr>
        <xdr:cNvPr id="4" name="Chart 3">
          <a:extLst>
            <a:ext uri="{FF2B5EF4-FFF2-40B4-BE49-F238E27FC236}">
              <a16:creationId xmlns:a16="http://schemas.microsoft.com/office/drawing/2014/main" id="{FA79D4B1-2DEF-4929-974B-2BEAD9A7E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168088</xdr:colOff>
      <xdr:row>61</xdr:row>
      <xdr:rowOff>17930</xdr:rowOff>
    </xdr:from>
    <xdr:to>
      <xdr:col>43</xdr:col>
      <xdr:colOff>582706</xdr:colOff>
      <xdr:row>81</xdr:row>
      <xdr:rowOff>94130</xdr:rowOff>
    </xdr:to>
    <xdr:graphicFrame macro="">
      <xdr:nvGraphicFramePr>
        <xdr:cNvPr id="5" name="Chart 4">
          <a:extLst>
            <a:ext uri="{FF2B5EF4-FFF2-40B4-BE49-F238E27FC236}">
              <a16:creationId xmlns:a16="http://schemas.microsoft.com/office/drawing/2014/main" id="{4BCEBD28-76DB-47E8-8A39-47886387C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36</xdr:col>
      <xdr:colOff>11476</xdr:colOff>
      <xdr:row>143</xdr:row>
      <xdr:rowOff>1</xdr:rowOff>
    </xdr:from>
    <xdr:to>
      <xdr:col>58</xdr:col>
      <xdr:colOff>453322</xdr:colOff>
      <xdr:row>148</xdr:row>
      <xdr:rowOff>62920</xdr:rowOff>
    </xdr:to>
    <xdr:pic>
      <xdr:nvPicPr>
        <xdr:cNvPr id="6" name="Picture 5">
          <a:extLst>
            <a:ext uri="{FF2B5EF4-FFF2-40B4-BE49-F238E27FC236}">
              <a16:creationId xmlns:a16="http://schemas.microsoft.com/office/drawing/2014/main" id="{AE0BA10A-18E8-4F7B-8713-D6A4257BBAB3}"/>
            </a:ext>
          </a:extLst>
        </xdr:cNvPr>
        <xdr:cNvPicPr>
          <a:picLocks noChangeAspect="1"/>
        </xdr:cNvPicPr>
      </xdr:nvPicPr>
      <xdr:blipFill>
        <a:blip xmlns:r="http://schemas.openxmlformats.org/officeDocument/2006/relationships" r:embed="rId5"/>
        <a:stretch>
          <a:fillRect/>
        </a:stretch>
      </xdr:blipFill>
      <xdr:spPr>
        <a:xfrm>
          <a:off x="17248283" y="26142109"/>
          <a:ext cx="13317809" cy="10383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114299</xdr:colOff>
      <xdr:row>12</xdr:row>
      <xdr:rowOff>133349</xdr:rowOff>
    </xdr:from>
    <xdr:to>
      <xdr:col>18</xdr:col>
      <xdr:colOff>657225</xdr:colOff>
      <xdr:row>34</xdr:row>
      <xdr:rowOff>43190</xdr:rowOff>
    </xdr:to>
    <xdr:pic>
      <xdr:nvPicPr>
        <xdr:cNvPr id="2" name="Picture 1">
          <a:extLst>
            <a:ext uri="{FF2B5EF4-FFF2-40B4-BE49-F238E27FC236}">
              <a16:creationId xmlns:a16="http://schemas.microsoft.com/office/drawing/2014/main" id="{369ED1EF-7C35-46F2-9236-0B7E57894A85}"/>
            </a:ext>
          </a:extLst>
        </xdr:cNvPr>
        <xdr:cNvPicPr>
          <a:picLocks noChangeAspect="1"/>
        </xdr:cNvPicPr>
      </xdr:nvPicPr>
      <xdr:blipFill>
        <a:blip xmlns:r="http://schemas.openxmlformats.org/officeDocument/2006/relationships" r:embed="rId1"/>
        <a:stretch>
          <a:fillRect/>
        </a:stretch>
      </xdr:blipFill>
      <xdr:spPr>
        <a:xfrm>
          <a:off x="8305799" y="2428874"/>
          <a:ext cx="4914901" cy="4177041"/>
        </a:xfrm>
        <a:prstGeom prst="rect">
          <a:avLst/>
        </a:prstGeom>
      </xdr:spPr>
    </xdr:pic>
    <xdr:clientData/>
  </xdr:twoCellAnchor>
  <xdr:twoCellAnchor>
    <xdr:from>
      <xdr:col>6</xdr:col>
      <xdr:colOff>552450</xdr:colOff>
      <xdr:row>55</xdr:row>
      <xdr:rowOff>90487</xdr:rowOff>
    </xdr:from>
    <xdr:to>
      <xdr:col>14</xdr:col>
      <xdr:colOff>66675</xdr:colOff>
      <xdr:row>69</xdr:row>
      <xdr:rowOff>166687</xdr:rowOff>
    </xdr:to>
    <xdr:graphicFrame macro="">
      <xdr:nvGraphicFramePr>
        <xdr:cNvPr id="3" name="Chart 2">
          <a:extLst>
            <a:ext uri="{FF2B5EF4-FFF2-40B4-BE49-F238E27FC236}">
              <a16:creationId xmlns:a16="http://schemas.microsoft.com/office/drawing/2014/main" id="{C976667D-7C03-4F41-BD15-B21A0F0CE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30</xdr:col>
      <xdr:colOff>393436</xdr:colOff>
      <xdr:row>26</xdr:row>
      <xdr:rowOff>141287</xdr:rowOff>
    </xdr:from>
    <xdr:to>
      <xdr:col>46</xdr:col>
      <xdr:colOff>447676</xdr:colOff>
      <xdr:row>44</xdr:row>
      <xdr:rowOff>63827</xdr:rowOff>
    </xdr:to>
    <xdr:pic>
      <xdr:nvPicPr>
        <xdr:cNvPr id="4" name="Picture 3">
          <a:extLst>
            <a:ext uri="{FF2B5EF4-FFF2-40B4-BE49-F238E27FC236}">
              <a16:creationId xmlns:a16="http://schemas.microsoft.com/office/drawing/2014/main" id="{2D44CD36-6824-A832-88A1-C070995BB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170092" y="3951287"/>
          <a:ext cx="9769740" cy="335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357188</xdr:colOff>
      <xdr:row>1</xdr:row>
      <xdr:rowOff>157163</xdr:rowOff>
    </xdr:from>
    <xdr:to>
      <xdr:col>46</xdr:col>
      <xdr:colOff>416719</xdr:colOff>
      <xdr:row>19</xdr:row>
      <xdr:rowOff>78326</xdr:rowOff>
    </xdr:to>
    <xdr:pic>
      <xdr:nvPicPr>
        <xdr:cNvPr id="5" name="Picture 4">
          <a:extLst>
            <a:ext uri="{FF2B5EF4-FFF2-40B4-BE49-F238E27FC236}">
              <a16:creationId xmlns:a16="http://schemas.microsoft.com/office/drawing/2014/main" id="{EE5EB8DF-7558-03A6-934A-18F7D4A05E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133844" y="347663"/>
          <a:ext cx="9775031" cy="3350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381531</xdr:colOff>
      <xdr:row>46</xdr:row>
      <xdr:rowOff>10318</xdr:rowOff>
    </xdr:from>
    <xdr:to>
      <xdr:col>46</xdr:col>
      <xdr:colOff>476251</xdr:colOff>
      <xdr:row>63</xdr:row>
      <xdr:rowOff>121849</xdr:rowOff>
    </xdr:to>
    <xdr:pic>
      <xdr:nvPicPr>
        <xdr:cNvPr id="2" name="Picture 1">
          <a:extLst>
            <a:ext uri="{FF2B5EF4-FFF2-40B4-BE49-F238E27FC236}">
              <a16:creationId xmlns:a16="http://schemas.microsoft.com/office/drawing/2014/main" id="{3D294AC3-3441-4C1E-8043-4FB5C64C3B01}"/>
            </a:ext>
          </a:extLst>
        </xdr:cNvPr>
        <xdr:cNvPicPr>
          <a:picLocks noChangeAspect="1"/>
        </xdr:cNvPicPr>
      </xdr:nvPicPr>
      <xdr:blipFill>
        <a:blip xmlns:r="http://schemas.openxmlformats.org/officeDocument/2006/relationships" r:embed="rId3"/>
        <a:stretch>
          <a:fillRect/>
        </a:stretch>
      </xdr:blipFill>
      <xdr:spPr>
        <a:xfrm>
          <a:off x="23035156" y="7630318"/>
          <a:ext cx="9746720" cy="3350031"/>
        </a:xfrm>
        <a:prstGeom prst="rect">
          <a:avLst/>
        </a:prstGeom>
      </xdr:spPr>
    </xdr:pic>
    <xdr:clientData/>
  </xdr:twoCellAnchor>
  <xdr:twoCellAnchor editAs="oneCell">
    <xdr:from>
      <xdr:col>30</xdr:col>
      <xdr:colOff>392908</xdr:colOff>
      <xdr:row>64</xdr:row>
      <xdr:rowOff>154781</xdr:rowOff>
    </xdr:from>
    <xdr:to>
      <xdr:col>46</xdr:col>
      <xdr:colOff>511338</xdr:colOff>
      <xdr:row>82</xdr:row>
      <xdr:rowOff>83344</xdr:rowOff>
    </xdr:to>
    <xdr:pic>
      <xdr:nvPicPr>
        <xdr:cNvPr id="6" name="Picture 5">
          <a:extLst>
            <a:ext uri="{FF2B5EF4-FFF2-40B4-BE49-F238E27FC236}">
              <a16:creationId xmlns:a16="http://schemas.microsoft.com/office/drawing/2014/main" id="{5463FAC2-CDDC-4347-A808-DBC79C85F36F}"/>
            </a:ext>
          </a:extLst>
        </xdr:cNvPr>
        <xdr:cNvPicPr>
          <a:picLocks noChangeAspect="1"/>
        </xdr:cNvPicPr>
      </xdr:nvPicPr>
      <xdr:blipFill>
        <a:blip xmlns:r="http://schemas.openxmlformats.org/officeDocument/2006/relationships" r:embed="rId4"/>
        <a:stretch>
          <a:fillRect/>
        </a:stretch>
      </xdr:blipFill>
      <xdr:spPr>
        <a:xfrm>
          <a:off x="23169564" y="11203781"/>
          <a:ext cx="9833930" cy="3357563"/>
        </a:xfrm>
        <a:prstGeom prst="rect">
          <a:avLst/>
        </a:prstGeom>
      </xdr:spPr>
    </xdr:pic>
    <xdr:clientData/>
  </xdr:twoCellAnchor>
  <xdr:twoCellAnchor editAs="oneCell">
    <xdr:from>
      <xdr:col>30</xdr:col>
      <xdr:colOff>404813</xdr:colOff>
      <xdr:row>83</xdr:row>
      <xdr:rowOff>142875</xdr:rowOff>
    </xdr:from>
    <xdr:to>
      <xdr:col>46</xdr:col>
      <xdr:colOff>523240</xdr:colOff>
      <xdr:row>101</xdr:row>
      <xdr:rowOff>71437</xdr:rowOff>
    </xdr:to>
    <xdr:pic>
      <xdr:nvPicPr>
        <xdr:cNvPr id="7" name="Picture 6">
          <a:extLst>
            <a:ext uri="{FF2B5EF4-FFF2-40B4-BE49-F238E27FC236}">
              <a16:creationId xmlns:a16="http://schemas.microsoft.com/office/drawing/2014/main" id="{B2CA89E4-25C5-4863-9A31-75DFBE5D5CFA}"/>
            </a:ext>
          </a:extLst>
        </xdr:cNvPr>
        <xdr:cNvPicPr>
          <a:picLocks noChangeAspect="1"/>
        </xdr:cNvPicPr>
      </xdr:nvPicPr>
      <xdr:blipFill>
        <a:blip xmlns:r="http://schemas.openxmlformats.org/officeDocument/2006/relationships" r:embed="rId5"/>
        <a:stretch>
          <a:fillRect/>
        </a:stretch>
      </xdr:blipFill>
      <xdr:spPr>
        <a:xfrm>
          <a:off x="23181469" y="14811375"/>
          <a:ext cx="9833927" cy="3357562"/>
        </a:xfrm>
        <a:prstGeom prst="rect">
          <a:avLst/>
        </a:prstGeom>
      </xdr:spPr>
    </xdr:pic>
    <xdr:clientData/>
  </xdr:twoCellAnchor>
  <xdr:twoCellAnchor editAs="oneCell">
    <xdr:from>
      <xdr:col>30</xdr:col>
      <xdr:colOff>428626</xdr:colOff>
      <xdr:row>102</xdr:row>
      <xdr:rowOff>178594</xdr:rowOff>
    </xdr:from>
    <xdr:to>
      <xdr:col>46</xdr:col>
      <xdr:colOff>535782</xdr:colOff>
      <xdr:row>120</xdr:row>
      <xdr:rowOff>103308</xdr:rowOff>
    </xdr:to>
    <xdr:pic>
      <xdr:nvPicPr>
        <xdr:cNvPr id="8" name="Picture 7">
          <a:extLst>
            <a:ext uri="{FF2B5EF4-FFF2-40B4-BE49-F238E27FC236}">
              <a16:creationId xmlns:a16="http://schemas.microsoft.com/office/drawing/2014/main" id="{DAE4B183-BD53-4B75-B681-953125E76A34}"/>
            </a:ext>
          </a:extLst>
        </xdr:cNvPr>
        <xdr:cNvPicPr>
          <a:picLocks noChangeAspect="1"/>
        </xdr:cNvPicPr>
      </xdr:nvPicPr>
      <xdr:blipFill>
        <a:blip xmlns:r="http://schemas.openxmlformats.org/officeDocument/2006/relationships" r:embed="rId6"/>
        <a:stretch>
          <a:fillRect/>
        </a:stretch>
      </xdr:blipFill>
      <xdr:spPr>
        <a:xfrm>
          <a:off x="23205282" y="18466594"/>
          <a:ext cx="9822656" cy="3353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124165</xdr:colOff>
      <xdr:row>44</xdr:row>
      <xdr:rowOff>12074</xdr:rowOff>
    </xdr:from>
    <xdr:to>
      <xdr:col>20</xdr:col>
      <xdr:colOff>312964</xdr:colOff>
      <xdr:row>62</xdr:row>
      <xdr:rowOff>54428</xdr:rowOff>
    </xdr:to>
    <xdr:graphicFrame macro="">
      <xdr:nvGraphicFramePr>
        <xdr:cNvPr id="2" name="Chart 1">
          <a:extLst>
            <a:ext uri="{FF2B5EF4-FFF2-40B4-BE49-F238E27FC236}">
              <a16:creationId xmlns:a16="http://schemas.microsoft.com/office/drawing/2014/main" id="{31D950EB-AC2E-4B96-909D-0503A1AEA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404811</xdr:colOff>
      <xdr:row>72</xdr:row>
      <xdr:rowOff>154782</xdr:rowOff>
    </xdr:from>
    <xdr:to>
      <xdr:col>21</xdr:col>
      <xdr:colOff>238125</xdr:colOff>
      <xdr:row>86</xdr:row>
      <xdr:rowOff>199377</xdr:rowOff>
    </xdr:to>
    <xdr:pic>
      <xdr:nvPicPr>
        <xdr:cNvPr id="4" name="Picture 3">
          <a:extLst>
            <a:ext uri="{FF2B5EF4-FFF2-40B4-BE49-F238E27FC236}">
              <a16:creationId xmlns:a16="http://schemas.microsoft.com/office/drawing/2014/main" id="{C9526F9C-2BE7-4F5E-9795-E63D29D36E15}"/>
            </a:ext>
          </a:extLst>
        </xdr:cNvPr>
        <xdr:cNvPicPr>
          <a:picLocks noChangeAspect="1"/>
        </xdr:cNvPicPr>
      </xdr:nvPicPr>
      <xdr:blipFill>
        <a:blip xmlns:r="http://schemas.openxmlformats.org/officeDocument/2006/relationships" r:embed="rId2"/>
        <a:stretch>
          <a:fillRect/>
        </a:stretch>
      </xdr:blipFill>
      <xdr:spPr>
        <a:xfrm>
          <a:off x="9429749" y="14251782"/>
          <a:ext cx="6346032" cy="3070483"/>
        </a:xfrm>
        <a:prstGeom prst="rect">
          <a:avLst/>
        </a:prstGeom>
      </xdr:spPr>
    </xdr:pic>
    <xdr:clientData/>
  </xdr:twoCellAnchor>
  <xdr:twoCellAnchor editAs="oneCell">
    <xdr:from>
      <xdr:col>12</xdr:col>
      <xdr:colOff>554802</xdr:colOff>
      <xdr:row>89</xdr:row>
      <xdr:rowOff>47624</xdr:rowOff>
    </xdr:from>
    <xdr:to>
      <xdr:col>21</xdr:col>
      <xdr:colOff>360350</xdr:colOff>
      <xdr:row>104</xdr:row>
      <xdr:rowOff>78242</xdr:rowOff>
    </xdr:to>
    <xdr:pic>
      <xdr:nvPicPr>
        <xdr:cNvPr id="5" name="Picture 4">
          <a:extLst>
            <a:ext uri="{FF2B5EF4-FFF2-40B4-BE49-F238E27FC236}">
              <a16:creationId xmlns:a16="http://schemas.microsoft.com/office/drawing/2014/main" id="{3DEBA34F-5D57-4768-B79F-3E6499739908}"/>
            </a:ext>
          </a:extLst>
        </xdr:cNvPr>
        <xdr:cNvPicPr>
          <a:picLocks noChangeAspect="1"/>
        </xdr:cNvPicPr>
      </xdr:nvPicPr>
      <xdr:blipFill>
        <a:blip xmlns:r="http://schemas.openxmlformats.org/officeDocument/2006/relationships" r:embed="rId3"/>
        <a:stretch>
          <a:fillRect/>
        </a:stretch>
      </xdr:blipFill>
      <xdr:spPr>
        <a:xfrm>
          <a:off x="9579740" y="17454562"/>
          <a:ext cx="6318266" cy="3107532"/>
        </a:xfrm>
        <a:prstGeom prst="rect">
          <a:avLst/>
        </a:prstGeom>
      </xdr:spPr>
    </xdr:pic>
    <xdr:clientData/>
  </xdr:twoCellAnchor>
  <xdr:twoCellAnchor editAs="oneCell">
    <xdr:from>
      <xdr:col>12</xdr:col>
      <xdr:colOff>678656</xdr:colOff>
      <xdr:row>105</xdr:row>
      <xdr:rowOff>83343</xdr:rowOff>
    </xdr:from>
    <xdr:to>
      <xdr:col>21</xdr:col>
      <xdr:colOff>488156</xdr:colOff>
      <xdr:row>120</xdr:row>
      <xdr:rowOff>129046</xdr:rowOff>
    </xdr:to>
    <xdr:pic>
      <xdr:nvPicPr>
        <xdr:cNvPr id="6" name="Picture 5">
          <a:extLst>
            <a:ext uri="{FF2B5EF4-FFF2-40B4-BE49-F238E27FC236}">
              <a16:creationId xmlns:a16="http://schemas.microsoft.com/office/drawing/2014/main" id="{EA09A437-A75B-49E3-8A5B-ACFE05B4CA36}"/>
            </a:ext>
          </a:extLst>
        </xdr:cNvPr>
        <xdr:cNvPicPr>
          <a:picLocks noChangeAspect="1"/>
        </xdr:cNvPicPr>
      </xdr:nvPicPr>
      <xdr:blipFill>
        <a:blip xmlns:r="http://schemas.openxmlformats.org/officeDocument/2006/relationships" r:embed="rId4"/>
        <a:stretch>
          <a:fillRect/>
        </a:stretch>
      </xdr:blipFill>
      <xdr:spPr>
        <a:xfrm>
          <a:off x="9703594" y="20728781"/>
          <a:ext cx="6322218" cy="3081797"/>
        </a:xfrm>
        <a:prstGeom prst="rect">
          <a:avLst/>
        </a:prstGeom>
      </xdr:spPr>
    </xdr:pic>
    <xdr:clientData/>
  </xdr:twoCellAnchor>
  <xdr:twoCellAnchor editAs="oneCell">
    <xdr:from>
      <xdr:col>21</xdr:col>
      <xdr:colOff>369094</xdr:colOff>
      <xdr:row>90</xdr:row>
      <xdr:rowOff>49949</xdr:rowOff>
    </xdr:from>
    <xdr:to>
      <xdr:col>29</xdr:col>
      <xdr:colOff>460648</xdr:colOff>
      <xdr:row>104</xdr:row>
      <xdr:rowOff>149678</xdr:rowOff>
    </xdr:to>
    <xdr:pic>
      <xdr:nvPicPr>
        <xdr:cNvPr id="9" name="Picture 8">
          <a:extLst>
            <a:ext uri="{FF2B5EF4-FFF2-40B4-BE49-F238E27FC236}">
              <a16:creationId xmlns:a16="http://schemas.microsoft.com/office/drawing/2014/main" id="{15464193-80B4-414E-9CF5-C14DF07A7FC8}"/>
            </a:ext>
          </a:extLst>
        </xdr:cNvPr>
        <xdr:cNvPicPr>
          <a:picLocks noChangeAspect="1"/>
        </xdr:cNvPicPr>
      </xdr:nvPicPr>
      <xdr:blipFill>
        <a:blip xmlns:r="http://schemas.openxmlformats.org/officeDocument/2006/relationships" r:embed="rId5"/>
        <a:stretch>
          <a:fillRect/>
        </a:stretch>
      </xdr:blipFill>
      <xdr:spPr>
        <a:xfrm>
          <a:off x="15906750" y="17659293"/>
          <a:ext cx="5997054" cy="2974237"/>
        </a:xfrm>
        <a:prstGeom prst="rect">
          <a:avLst/>
        </a:prstGeom>
      </xdr:spPr>
    </xdr:pic>
    <xdr:clientData/>
  </xdr:twoCellAnchor>
  <xdr:twoCellAnchor editAs="oneCell">
    <xdr:from>
      <xdr:col>13</xdr:col>
      <xdr:colOff>500063</xdr:colOff>
      <xdr:row>121</xdr:row>
      <xdr:rowOff>154780</xdr:rowOff>
    </xdr:from>
    <xdr:to>
      <xdr:col>22</xdr:col>
      <xdr:colOff>141366</xdr:colOff>
      <xdr:row>127</xdr:row>
      <xdr:rowOff>45397</xdr:rowOff>
    </xdr:to>
    <xdr:pic>
      <xdr:nvPicPr>
        <xdr:cNvPr id="10" name="Picture 9">
          <a:extLst>
            <a:ext uri="{FF2B5EF4-FFF2-40B4-BE49-F238E27FC236}">
              <a16:creationId xmlns:a16="http://schemas.microsoft.com/office/drawing/2014/main" id="{3085DC37-67FE-4561-AF06-29A20148A1A6}"/>
            </a:ext>
          </a:extLst>
        </xdr:cNvPr>
        <xdr:cNvPicPr>
          <a:picLocks noChangeAspect="1"/>
        </xdr:cNvPicPr>
      </xdr:nvPicPr>
      <xdr:blipFill>
        <a:blip xmlns:r="http://schemas.openxmlformats.org/officeDocument/2006/relationships" r:embed="rId6"/>
        <a:stretch>
          <a:fillRect/>
        </a:stretch>
      </xdr:blipFill>
      <xdr:spPr>
        <a:xfrm>
          <a:off x="10215563" y="24038718"/>
          <a:ext cx="6249272" cy="1105054"/>
        </a:xfrm>
        <a:prstGeom prst="rect">
          <a:avLst/>
        </a:prstGeom>
      </xdr:spPr>
    </xdr:pic>
    <xdr:clientData/>
  </xdr:twoCellAnchor>
  <xdr:twoCellAnchor editAs="oneCell">
    <xdr:from>
      <xdr:col>22</xdr:col>
      <xdr:colOff>33072</xdr:colOff>
      <xdr:row>105</xdr:row>
      <xdr:rowOff>149677</xdr:rowOff>
    </xdr:from>
    <xdr:to>
      <xdr:col>33</xdr:col>
      <xdr:colOff>272401</xdr:colOff>
      <xdr:row>126</xdr:row>
      <xdr:rowOff>108856</xdr:rowOff>
    </xdr:to>
    <xdr:pic>
      <xdr:nvPicPr>
        <xdr:cNvPr id="11" name="Picture 10">
          <a:extLst>
            <a:ext uri="{FF2B5EF4-FFF2-40B4-BE49-F238E27FC236}">
              <a16:creationId xmlns:a16="http://schemas.microsoft.com/office/drawing/2014/main" id="{B76BEABD-32F2-429B-960E-CDAA08D9D339}"/>
            </a:ext>
          </a:extLst>
        </xdr:cNvPr>
        <xdr:cNvPicPr>
          <a:picLocks noChangeAspect="1"/>
        </xdr:cNvPicPr>
      </xdr:nvPicPr>
      <xdr:blipFill>
        <a:blip xmlns:r="http://schemas.openxmlformats.org/officeDocument/2006/relationships" r:embed="rId7"/>
        <a:stretch>
          <a:fillRect/>
        </a:stretch>
      </xdr:blipFill>
      <xdr:spPr>
        <a:xfrm>
          <a:off x="16252786" y="20968606"/>
          <a:ext cx="8512472" cy="4245429"/>
        </a:xfrm>
        <a:prstGeom prst="rect">
          <a:avLst/>
        </a:prstGeom>
      </xdr:spPr>
    </xdr:pic>
    <xdr:clientData/>
  </xdr:twoCellAnchor>
  <xdr:twoCellAnchor editAs="oneCell">
    <xdr:from>
      <xdr:col>21</xdr:col>
      <xdr:colOff>13606</xdr:colOff>
      <xdr:row>72</xdr:row>
      <xdr:rowOff>53932</xdr:rowOff>
    </xdr:from>
    <xdr:to>
      <xdr:col>37</xdr:col>
      <xdr:colOff>192359</xdr:colOff>
      <xdr:row>85</xdr:row>
      <xdr:rowOff>76663</xdr:rowOff>
    </xdr:to>
    <xdr:pic>
      <xdr:nvPicPr>
        <xdr:cNvPr id="14" name="Picture 13">
          <a:extLst>
            <a:ext uri="{FF2B5EF4-FFF2-40B4-BE49-F238E27FC236}">
              <a16:creationId xmlns:a16="http://schemas.microsoft.com/office/drawing/2014/main" id="{FB2D726B-8613-4A15-909F-2DC38A34DDB2}"/>
            </a:ext>
          </a:extLst>
        </xdr:cNvPr>
        <xdr:cNvPicPr>
          <a:picLocks noChangeAspect="1"/>
        </xdr:cNvPicPr>
      </xdr:nvPicPr>
      <xdr:blipFill rotWithShape="1">
        <a:blip xmlns:r="http://schemas.openxmlformats.org/officeDocument/2006/relationships" r:embed="rId8"/>
        <a:srcRect t="7389"/>
        <a:stretch/>
      </xdr:blipFill>
      <xdr:spPr>
        <a:xfrm>
          <a:off x="15444106" y="14273396"/>
          <a:ext cx="12452396" cy="2866624"/>
        </a:xfrm>
        <a:prstGeom prst="rect">
          <a:avLst/>
        </a:prstGeom>
      </xdr:spPr>
    </xdr:pic>
    <xdr:clientData/>
  </xdr:twoCellAnchor>
  <xdr:twoCellAnchor editAs="oneCell">
    <xdr:from>
      <xdr:col>13</xdr:col>
      <xdr:colOff>122464</xdr:colOff>
      <xdr:row>137</xdr:row>
      <xdr:rowOff>95250</xdr:rowOff>
    </xdr:from>
    <xdr:to>
      <xdr:col>22</xdr:col>
      <xdr:colOff>122464</xdr:colOff>
      <xdr:row>153</xdr:row>
      <xdr:rowOff>52369</xdr:rowOff>
    </xdr:to>
    <xdr:pic>
      <xdr:nvPicPr>
        <xdr:cNvPr id="15" name="Picture 14">
          <a:extLst>
            <a:ext uri="{FF2B5EF4-FFF2-40B4-BE49-F238E27FC236}">
              <a16:creationId xmlns:a16="http://schemas.microsoft.com/office/drawing/2014/main" id="{BF3190DC-A1FE-4156-BB10-5746A1782382}"/>
            </a:ext>
          </a:extLst>
        </xdr:cNvPr>
        <xdr:cNvPicPr>
          <a:picLocks noChangeAspect="1"/>
        </xdr:cNvPicPr>
      </xdr:nvPicPr>
      <xdr:blipFill>
        <a:blip xmlns:r="http://schemas.openxmlformats.org/officeDocument/2006/relationships" r:embed="rId9"/>
        <a:stretch>
          <a:fillRect/>
        </a:stretch>
      </xdr:blipFill>
      <xdr:spPr>
        <a:xfrm>
          <a:off x="9783535" y="27445607"/>
          <a:ext cx="6558643" cy="3222833"/>
        </a:xfrm>
        <a:prstGeom prst="rect">
          <a:avLst/>
        </a:prstGeom>
      </xdr:spPr>
    </xdr:pic>
    <xdr:clientData/>
  </xdr:twoCellAnchor>
  <xdr:twoCellAnchor editAs="oneCell">
    <xdr:from>
      <xdr:col>22</xdr:col>
      <xdr:colOff>272144</xdr:colOff>
      <xdr:row>135</xdr:row>
      <xdr:rowOff>149679</xdr:rowOff>
    </xdr:from>
    <xdr:to>
      <xdr:col>32</xdr:col>
      <xdr:colOff>204108</xdr:colOff>
      <xdr:row>153</xdr:row>
      <xdr:rowOff>200555</xdr:rowOff>
    </xdr:to>
    <xdr:pic>
      <xdr:nvPicPr>
        <xdr:cNvPr id="16" name="Picture 15">
          <a:extLst>
            <a:ext uri="{FF2B5EF4-FFF2-40B4-BE49-F238E27FC236}">
              <a16:creationId xmlns:a16="http://schemas.microsoft.com/office/drawing/2014/main" id="{B4141BE3-441C-436C-933A-7E31CBEDF08E}"/>
            </a:ext>
          </a:extLst>
        </xdr:cNvPr>
        <xdr:cNvPicPr>
          <a:picLocks noChangeAspect="1"/>
        </xdr:cNvPicPr>
      </xdr:nvPicPr>
      <xdr:blipFill>
        <a:blip xmlns:r="http://schemas.openxmlformats.org/officeDocument/2006/relationships" r:embed="rId10"/>
        <a:stretch>
          <a:fillRect/>
        </a:stretch>
      </xdr:blipFill>
      <xdr:spPr>
        <a:xfrm>
          <a:off x="16491858" y="27091822"/>
          <a:ext cx="7402286" cy="3724804"/>
        </a:xfrm>
        <a:prstGeom prst="rect">
          <a:avLst/>
        </a:prstGeom>
      </xdr:spPr>
    </xdr:pic>
    <xdr:clientData/>
  </xdr:twoCellAnchor>
  <xdr:twoCellAnchor editAs="oneCell">
    <xdr:from>
      <xdr:col>12</xdr:col>
      <xdr:colOff>435431</xdr:colOff>
      <xdr:row>155</xdr:row>
      <xdr:rowOff>95251</xdr:rowOff>
    </xdr:from>
    <xdr:to>
      <xdr:col>23</xdr:col>
      <xdr:colOff>27216</xdr:colOff>
      <xdr:row>173</xdr:row>
      <xdr:rowOff>125259</xdr:rowOff>
    </xdr:to>
    <xdr:pic>
      <xdr:nvPicPr>
        <xdr:cNvPr id="17" name="Picture 16">
          <a:extLst>
            <a:ext uri="{FF2B5EF4-FFF2-40B4-BE49-F238E27FC236}">
              <a16:creationId xmlns:a16="http://schemas.microsoft.com/office/drawing/2014/main" id="{CC1F1A11-F226-42DF-95AB-89CC9D0C111C}"/>
            </a:ext>
          </a:extLst>
        </xdr:cNvPr>
        <xdr:cNvPicPr>
          <a:picLocks noChangeAspect="1"/>
        </xdr:cNvPicPr>
      </xdr:nvPicPr>
      <xdr:blipFill>
        <a:blip xmlns:r="http://schemas.openxmlformats.org/officeDocument/2006/relationships" r:embed="rId11"/>
        <a:stretch>
          <a:fillRect/>
        </a:stretch>
      </xdr:blipFill>
      <xdr:spPr>
        <a:xfrm>
          <a:off x="9416145" y="31119537"/>
          <a:ext cx="7511142" cy="3703936"/>
        </a:xfrm>
        <a:prstGeom prst="rect">
          <a:avLst/>
        </a:prstGeom>
      </xdr:spPr>
    </xdr:pic>
    <xdr:clientData/>
  </xdr:twoCellAnchor>
  <xdr:twoCellAnchor editAs="oneCell">
    <xdr:from>
      <xdr:col>23</xdr:col>
      <xdr:colOff>68036</xdr:colOff>
      <xdr:row>155</xdr:row>
      <xdr:rowOff>77280</xdr:rowOff>
    </xdr:from>
    <xdr:to>
      <xdr:col>32</xdr:col>
      <xdr:colOff>669812</xdr:colOff>
      <xdr:row>173</xdr:row>
      <xdr:rowOff>122466</xdr:rowOff>
    </xdr:to>
    <xdr:pic>
      <xdr:nvPicPr>
        <xdr:cNvPr id="18" name="Picture 17">
          <a:extLst>
            <a:ext uri="{FF2B5EF4-FFF2-40B4-BE49-F238E27FC236}">
              <a16:creationId xmlns:a16="http://schemas.microsoft.com/office/drawing/2014/main" id="{1516B2EF-B9BA-423C-A51F-2E90381AFD4C}"/>
            </a:ext>
          </a:extLst>
        </xdr:cNvPr>
        <xdr:cNvPicPr>
          <a:picLocks noChangeAspect="1"/>
        </xdr:cNvPicPr>
      </xdr:nvPicPr>
      <xdr:blipFill>
        <a:blip xmlns:r="http://schemas.openxmlformats.org/officeDocument/2006/relationships" r:embed="rId12"/>
        <a:stretch>
          <a:fillRect/>
        </a:stretch>
      </xdr:blipFill>
      <xdr:spPr>
        <a:xfrm>
          <a:off x="16968107" y="31101566"/>
          <a:ext cx="7391741" cy="3719114"/>
        </a:xfrm>
        <a:prstGeom prst="rect">
          <a:avLst/>
        </a:prstGeom>
      </xdr:spPr>
    </xdr:pic>
    <xdr:clientData/>
  </xdr:twoCellAnchor>
  <xdr:twoCellAnchor editAs="oneCell">
    <xdr:from>
      <xdr:col>3</xdr:col>
      <xdr:colOff>326569</xdr:colOff>
      <xdr:row>82</xdr:row>
      <xdr:rowOff>176893</xdr:rowOff>
    </xdr:from>
    <xdr:to>
      <xdr:col>12</xdr:col>
      <xdr:colOff>149679</xdr:colOff>
      <xdr:row>98</xdr:row>
      <xdr:rowOff>131199</xdr:rowOff>
    </xdr:to>
    <xdr:pic>
      <xdr:nvPicPr>
        <xdr:cNvPr id="3" name="Picture 2">
          <a:extLst>
            <a:ext uri="{FF2B5EF4-FFF2-40B4-BE49-F238E27FC236}">
              <a16:creationId xmlns:a16="http://schemas.microsoft.com/office/drawing/2014/main" id="{C5F30D2F-6824-8F42-3AE7-4186D9D44CC3}"/>
            </a:ext>
          </a:extLst>
        </xdr:cNvPr>
        <xdr:cNvPicPr>
          <a:picLocks noChangeAspect="1"/>
        </xdr:cNvPicPr>
      </xdr:nvPicPr>
      <xdr:blipFill>
        <a:blip xmlns:r="http://schemas.openxmlformats.org/officeDocument/2006/relationships" r:embed="rId13"/>
        <a:stretch>
          <a:fillRect/>
        </a:stretch>
      </xdr:blipFill>
      <xdr:spPr>
        <a:xfrm>
          <a:off x="2966355" y="16832036"/>
          <a:ext cx="6164038" cy="3220020"/>
        </a:xfrm>
        <a:prstGeom prst="rect">
          <a:avLst/>
        </a:prstGeom>
      </xdr:spPr>
    </xdr:pic>
    <xdr:clientData/>
  </xdr:twoCellAnchor>
  <xdr:twoCellAnchor>
    <xdr:from>
      <xdr:col>21</xdr:col>
      <xdr:colOff>476249</xdr:colOff>
      <xdr:row>50</xdr:row>
      <xdr:rowOff>16329</xdr:rowOff>
    </xdr:from>
    <xdr:to>
      <xdr:col>27</xdr:col>
      <xdr:colOff>557892</xdr:colOff>
      <xdr:row>63</xdr:row>
      <xdr:rowOff>106136</xdr:rowOff>
    </xdr:to>
    <xdr:graphicFrame macro="">
      <xdr:nvGraphicFramePr>
        <xdr:cNvPr id="7" name="Chart 6">
          <a:extLst>
            <a:ext uri="{FF2B5EF4-FFF2-40B4-BE49-F238E27FC236}">
              <a16:creationId xmlns:a16="http://schemas.microsoft.com/office/drawing/2014/main" id="{502B6E09-0AD9-40C5-825D-DC97536B7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409575</xdr:colOff>
      <xdr:row>48</xdr:row>
      <xdr:rowOff>23812</xdr:rowOff>
    </xdr:from>
    <xdr:to>
      <xdr:col>23</xdr:col>
      <xdr:colOff>104775</xdr:colOff>
      <xdr:row>62</xdr:row>
      <xdr:rowOff>100012</xdr:rowOff>
    </xdr:to>
    <xdr:graphicFrame macro="">
      <xdr:nvGraphicFramePr>
        <xdr:cNvPr id="2" name="Chart 1">
          <a:extLst>
            <a:ext uri="{FF2B5EF4-FFF2-40B4-BE49-F238E27FC236}">
              <a16:creationId xmlns:a16="http://schemas.microsoft.com/office/drawing/2014/main" id="{D27DB8F1-A792-4D41-927B-9F727C0D55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cui1/Downloads/AMZ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genda"/>
      <sheetName val="DCF"/>
      <sheetName val="WACC"/>
      <sheetName val="IS"/>
      <sheetName val="Estimates"/>
      <sheetName val="CFS"/>
    </sheetNames>
    <sheetDataSet>
      <sheetData sheetId="0" refreshError="1"/>
      <sheetData sheetId="1">
        <row r="15">
          <cell r="E15">
            <v>9.0514529678643138E-2</v>
          </cell>
        </row>
        <row r="16">
          <cell r="E16">
            <v>2.5000000000000001E-2</v>
          </cell>
        </row>
      </sheetData>
      <sheetData sheetId="2"/>
      <sheetData sheetId="3"/>
      <sheetData sheetId="4"/>
      <sheetData sheetId="5"/>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61E36A1-BD24-B94C-A09F-172CA744A6FE}">
  <we:reference id="367f4e28-f27a-41a8-92a6-9f79d56cb19e" version="2.1.0.0" store="EXCatalog" storeType="EXCatalog"/>
  <we:alternateReferences>
    <we:reference id="WA200001456" version="2.1.0.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FDS</we:customFunctionIds>
        <we:customFunctionIds>FDSN</we:customFunctionIds>
        <we:customFunctionIds>FDSZ</we:customFunctionIds>
        <we:customFunctionIds>FDSB</we:customFunctionIds>
        <we:customFunctionIds>FDSC</we:customFunctionIds>
        <we:customFunctionIds>FDSR</we:customFunctionIds>
        <we:customFunctionIds>FDSRN</we:customFunctionIds>
        <we:customFunctionIds>FDSRZ</we:customFunctionIds>
        <we:customFunctionIds>FDSRB</we:customFunctionIds>
        <we:customFunctionIds>FDSRC</we:customFunctionIds>
        <we:customFunctionIds>FDSLIVE</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fred.stlouisfed.org/series/WPU011302" TargetMode="External"/><Relationship Id="rId7" Type="http://schemas.openxmlformats.org/officeDocument/2006/relationships/printerSettings" Target="../printerSettings/printerSettings5.bin"/><Relationship Id="rId2" Type="http://schemas.openxmlformats.org/officeDocument/2006/relationships/hyperlink" Target="https://fred.stlouisfed.org/series/WPU012" TargetMode="External"/><Relationship Id="rId1" Type="http://schemas.openxmlformats.org/officeDocument/2006/relationships/hyperlink" Target="https://fred.stlouisfed.org/series/WPS022101" TargetMode="External"/><Relationship Id="rId6" Type="http://schemas.openxmlformats.org/officeDocument/2006/relationships/hyperlink" Target="https://fred.stlouisfed.org/series/PCU325211325211" TargetMode="External"/><Relationship Id="rId5" Type="http://schemas.openxmlformats.org/officeDocument/2006/relationships/hyperlink" Target="https://fred.stlouisfed.org/series/WPU0911" TargetMode="External"/><Relationship Id="rId4" Type="http://schemas.openxmlformats.org/officeDocument/2006/relationships/hyperlink" Target="https://fred.stlouisfed.org/series/PCU31213121"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5AC9-4C67-49DF-90E8-CC9A3CCE3A02}">
  <dimension ref="A1:B2"/>
  <sheetViews>
    <sheetView workbookViewId="0"/>
  </sheetViews>
  <sheetFormatPr baseColWidth="10" defaultColWidth="8.83203125" defaultRowHeight="15" x14ac:dyDescent="0.2"/>
  <sheetData>
    <row r="1" spans="1:2" x14ac:dyDescent="0.2">
      <c r="B1" t="s">
        <v>166</v>
      </c>
    </row>
    <row r="2" spans="1:2" x14ac:dyDescent="0.2"/>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368B4-EE63-4EF9-8C13-A0FE3E569E36}">
  <sheetPr>
    <tabColor theme="0" tint="-0.499984740745262"/>
  </sheetPr>
  <dimension ref="A1:AQ87"/>
  <sheetViews>
    <sheetView zoomScaleNormal="100" workbookViewId="0">
      <pane xSplit="3" ySplit="4" topLeftCell="I5" activePane="bottomRight" state="frozen"/>
      <selection pane="topRight" activeCell="N1" sqref="N1"/>
      <selection pane="bottomLeft" activeCell="A5" sqref="A5"/>
      <selection pane="bottomRight" activeCell="AM11" sqref="AM11"/>
    </sheetView>
  </sheetViews>
  <sheetFormatPr baseColWidth="10" defaultColWidth="8.83203125" defaultRowHeight="15" outlineLevelCol="1" x14ac:dyDescent="0.2"/>
  <cols>
    <col min="1" max="1" width="1.6640625" customWidth="1"/>
    <col min="2" max="2" width="105.5" bestFit="1" customWidth="1"/>
    <col min="3" max="3" width="2" customWidth="1"/>
    <col min="4" max="4" width="1.6640625" hidden="1" customWidth="1" outlineLevel="1"/>
    <col min="5" max="6" width="11.5" hidden="1" customWidth="1" outlineLevel="1"/>
    <col min="7" max="7" width="12.5" hidden="1" customWidth="1" outlineLevel="1"/>
    <col min="8" max="8" width="12.33203125" hidden="1" customWidth="1" outlineLevel="1"/>
    <col min="9" max="9" width="12.5" customWidth="1" collapsed="1"/>
    <col min="10" max="13" width="12.1640625" hidden="1" customWidth="1" outlineLevel="1"/>
    <col min="14" max="14" width="12.5" bestFit="1" customWidth="1" collapsed="1"/>
    <col min="15" max="18" width="12.1640625" hidden="1" customWidth="1" outlineLevel="1"/>
    <col min="19" max="19" width="13.1640625" bestFit="1" customWidth="1" collapsed="1"/>
    <col min="20" max="23" width="12.33203125" hidden="1" customWidth="1" outlineLevel="1"/>
    <col min="24" max="24" width="12.5" bestFit="1" customWidth="1" collapsed="1"/>
    <col min="25" max="28" width="12.33203125" hidden="1" customWidth="1" outlineLevel="1"/>
    <col min="29" max="29" width="12.5" bestFit="1" customWidth="1" collapsed="1"/>
    <col min="30" max="33" width="12.33203125" hidden="1" customWidth="1" outlineLevel="1"/>
    <col min="34" max="34" width="12.83203125" bestFit="1" customWidth="1" collapsed="1"/>
    <col min="35" max="36" width="12.83203125" bestFit="1" customWidth="1"/>
  </cols>
  <sheetData>
    <row r="1" spans="1:43" s="11" customFormat="1" x14ac:dyDescent="0.2">
      <c r="B1" s="80" t="s">
        <v>202</v>
      </c>
      <c r="C1" s="81"/>
      <c r="E1" s="83"/>
      <c r="F1" s="83"/>
      <c r="G1" s="83"/>
      <c r="H1" s="83"/>
      <c r="I1" s="82"/>
      <c r="J1" s="83"/>
      <c r="K1" s="83"/>
      <c r="L1" s="83"/>
      <c r="M1" s="83"/>
      <c r="N1" s="82"/>
      <c r="O1" s="83"/>
      <c r="P1" s="83"/>
      <c r="Q1" s="83"/>
      <c r="R1" s="83"/>
      <c r="S1" s="82"/>
      <c r="T1" s="83"/>
      <c r="U1" s="83"/>
      <c r="V1" s="83"/>
      <c r="W1" s="83"/>
      <c r="X1" s="82"/>
      <c r="Y1" s="83"/>
      <c r="Z1" s="83"/>
      <c r="AA1" s="83"/>
      <c r="AB1" s="83"/>
      <c r="AC1" s="82"/>
      <c r="AD1" s="83"/>
      <c r="AE1" s="83"/>
      <c r="AF1" s="83"/>
      <c r="AG1" s="83"/>
      <c r="AH1" s="82"/>
      <c r="AI1" s="82"/>
      <c r="AJ1" s="82"/>
      <c r="AK1"/>
      <c r="AL1"/>
      <c r="AM1"/>
      <c r="AN1"/>
      <c r="AO1"/>
      <c r="AP1"/>
      <c r="AQ1"/>
    </row>
    <row r="2" spans="1:43" x14ac:dyDescent="0.2">
      <c r="B2" s="11" t="s">
        <v>171</v>
      </c>
      <c r="C2" s="11"/>
      <c r="D2" s="84"/>
      <c r="E2" s="84" t="s">
        <v>172</v>
      </c>
      <c r="F2" s="84" t="s">
        <v>173</v>
      </c>
      <c r="G2" s="84" t="s">
        <v>174</v>
      </c>
      <c r="H2" s="84" t="s">
        <v>175</v>
      </c>
      <c r="I2" s="115">
        <v>2019</v>
      </c>
      <c r="J2" s="84" t="s">
        <v>176</v>
      </c>
      <c r="K2" s="84" t="s">
        <v>177</v>
      </c>
      <c r="L2" s="84" t="s">
        <v>178</v>
      </c>
      <c r="M2" s="84" t="s">
        <v>179</v>
      </c>
      <c r="N2" s="115">
        <v>2020</v>
      </c>
      <c r="O2" s="84" t="s">
        <v>180</v>
      </c>
      <c r="P2" s="84" t="s">
        <v>181</v>
      </c>
      <c r="Q2" s="84" t="s">
        <v>182</v>
      </c>
      <c r="R2" s="84" t="s">
        <v>183</v>
      </c>
      <c r="S2" s="115">
        <v>2021</v>
      </c>
      <c r="T2" s="84" t="s">
        <v>184</v>
      </c>
      <c r="U2" s="84" t="s">
        <v>185</v>
      </c>
      <c r="V2" s="84" t="s">
        <v>186</v>
      </c>
      <c r="W2" s="84" t="s">
        <v>187</v>
      </c>
      <c r="X2" s="115">
        <v>2022</v>
      </c>
      <c r="Y2" s="84" t="s">
        <v>188</v>
      </c>
      <c r="Z2" s="84" t="s">
        <v>189</v>
      </c>
      <c r="AA2" s="84" t="s">
        <v>190</v>
      </c>
      <c r="AB2" s="84" t="s">
        <v>191</v>
      </c>
      <c r="AC2" s="115">
        <v>2023</v>
      </c>
      <c r="AD2" s="84" t="s">
        <v>192</v>
      </c>
      <c r="AE2" s="84" t="s">
        <v>193</v>
      </c>
      <c r="AF2" s="84" t="s">
        <v>194</v>
      </c>
      <c r="AG2" s="84" t="s">
        <v>195</v>
      </c>
      <c r="AH2" s="115" t="s">
        <v>196</v>
      </c>
      <c r="AI2" s="115" t="s">
        <v>197</v>
      </c>
      <c r="AJ2" s="115" t="s">
        <v>198</v>
      </c>
    </row>
    <row r="3" spans="1:43" x14ac:dyDescent="0.2">
      <c r="A3" s="85"/>
      <c r="B3" s="86" t="s">
        <v>199</v>
      </c>
      <c r="C3" s="86"/>
      <c r="D3" s="88"/>
      <c r="E3" s="88">
        <v>43555</v>
      </c>
      <c r="F3" s="88">
        <f>EOMONTH(E3,3)</f>
        <v>43646</v>
      </c>
      <c r="G3" s="88">
        <f>EOMONTH(F3,3)</f>
        <v>43738</v>
      </c>
      <c r="H3" s="88">
        <f>EOMONTH(G3,3)</f>
        <v>43830</v>
      </c>
      <c r="I3" s="87">
        <f>+H3</f>
        <v>43830</v>
      </c>
      <c r="J3" s="89">
        <f>EOMONTH(I3,3)</f>
        <v>43921</v>
      </c>
      <c r="K3" s="89">
        <f>EOMONTH(J3,3)</f>
        <v>44012</v>
      </c>
      <c r="L3" s="89">
        <f>EOMONTH(K3,3)</f>
        <v>44104</v>
      </c>
      <c r="M3" s="89">
        <f>EOMONTH(L3,3)</f>
        <v>44196</v>
      </c>
      <c r="N3" s="90">
        <f>+M3</f>
        <v>44196</v>
      </c>
      <c r="O3" s="89">
        <f>EOMONTH(N3,3)</f>
        <v>44286</v>
      </c>
      <c r="P3" s="89">
        <f>EOMONTH(O3,3)</f>
        <v>44377</v>
      </c>
      <c r="Q3" s="89">
        <f>EOMONTH(P3,3)</f>
        <v>44469</v>
      </c>
      <c r="R3" s="89">
        <f>EOMONTH(Q3,3)</f>
        <v>44561</v>
      </c>
      <c r="S3" s="90">
        <f>+R3</f>
        <v>44561</v>
      </c>
      <c r="T3" s="89">
        <f>EOMONTH(S3,3)</f>
        <v>44651</v>
      </c>
      <c r="U3" s="89">
        <f>EOMONTH(T3,3)</f>
        <v>44742</v>
      </c>
      <c r="V3" s="91">
        <f>EOMONTH(U3,3)</f>
        <v>44834</v>
      </c>
      <c r="W3" s="91">
        <f>EOMONTH(V3,3)</f>
        <v>44926</v>
      </c>
      <c r="X3" s="92">
        <f>+EOMONTH(S3,12)</f>
        <v>44926</v>
      </c>
      <c r="Y3" s="89">
        <f>EOMONTH(W3,3)</f>
        <v>45016</v>
      </c>
      <c r="Z3" s="89">
        <f>EOMONTH(Y3,3)</f>
        <v>45107</v>
      </c>
      <c r="AA3" s="91">
        <f>EOMONTH(Z3,3)</f>
        <v>45199</v>
      </c>
      <c r="AB3" s="91">
        <f>EOMONTH(AA3,3)</f>
        <v>45291</v>
      </c>
      <c r="AC3" s="92">
        <f>+EOMONTH(X3,12)</f>
        <v>45291</v>
      </c>
      <c r="AD3" s="89">
        <f>EOMONTH(AB3,3)</f>
        <v>45382</v>
      </c>
      <c r="AE3" s="89">
        <f>EOMONTH(AD3,3)</f>
        <v>45473</v>
      </c>
      <c r="AF3" s="91">
        <f>EOMONTH(AE3,3)</f>
        <v>45565</v>
      </c>
      <c r="AG3" s="91">
        <f>EOMONTH(AF3,3)</f>
        <v>45657</v>
      </c>
      <c r="AH3" s="93">
        <f>+EOMONTH(AC3,12)</f>
        <v>45657</v>
      </c>
      <c r="AI3" s="93">
        <f>+EOMONTH(AG3,12)</f>
        <v>46022</v>
      </c>
      <c r="AJ3" s="93">
        <f>+EOMONTH(AH3,12)</f>
        <v>46022</v>
      </c>
    </row>
    <row r="4" spans="1:43" x14ac:dyDescent="0.2">
      <c r="B4" s="94" t="s">
        <v>200</v>
      </c>
      <c r="C4" s="94"/>
      <c r="E4" s="96">
        <v>90</v>
      </c>
      <c r="F4" s="96">
        <f>+F3-E3</f>
        <v>91</v>
      </c>
      <c r="G4" s="96">
        <f>+G3-F3</f>
        <v>92</v>
      </c>
      <c r="H4" s="96">
        <f>+H3-G3</f>
        <v>92</v>
      </c>
      <c r="I4" s="95">
        <v>365</v>
      </c>
      <c r="J4" s="97">
        <f>+J3-I3</f>
        <v>91</v>
      </c>
      <c r="K4" s="97">
        <f>+K3-J3</f>
        <v>91</v>
      </c>
      <c r="L4" s="97">
        <f>+L3-K3</f>
        <v>92</v>
      </c>
      <c r="M4" s="97">
        <f>+M3-L3</f>
        <v>92</v>
      </c>
      <c r="N4" s="98">
        <f>+N3-I3</f>
        <v>366</v>
      </c>
      <c r="O4" s="97">
        <f>+O3-N3</f>
        <v>90</v>
      </c>
      <c r="P4" s="97">
        <f>+P3-O3</f>
        <v>91</v>
      </c>
      <c r="Q4" s="97">
        <f>+Q3-P3</f>
        <v>92</v>
      </c>
      <c r="R4" s="97">
        <f>+R3-Q3</f>
        <v>92</v>
      </c>
      <c r="S4" s="98">
        <f>+S3-N3</f>
        <v>365</v>
      </c>
      <c r="T4" s="97">
        <f>+T3-S3</f>
        <v>90</v>
      </c>
      <c r="U4" s="97">
        <f>+U3-T3</f>
        <v>91</v>
      </c>
      <c r="V4" s="99">
        <f>+V3-U3</f>
        <v>92</v>
      </c>
      <c r="W4" s="99">
        <f>+W3-V3</f>
        <v>92</v>
      </c>
      <c r="X4" s="100">
        <f>X3-S3</f>
        <v>365</v>
      </c>
      <c r="Y4" s="97">
        <f>+Y3-W3</f>
        <v>90</v>
      </c>
      <c r="Z4" s="97">
        <f>+Z3-Y3</f>
        <v>91</v>
      </c>
      <c r="AA4" s="99">
        <f>+AA3-Z3</f>
        <v>92</v>
      </c>
      <c r="AB4" s="99">
        <f>+AB3-AA3</f>
        <v>92</v>
      </c>
      <c r="AC4" s="100">
        <f>AC3-X3</f>
        <v>365</v>
      </c>
      <c r="AD4" s="97">
        <f>+AD3-AB3</f>
        <v>91</v>
      </c>
      <c r="AE4" s="97">
        <f>+AE3-AD3</f>
        <v>91</v>
      </c>
      <c r="AF4" s="99">
        <f>+AF3-AE3</f>
        <v>92</v>
      </c>
      <c r="AG4" s="99">
        <f>+AG3-AF3</f>
        <v>92</v>
      </c>
      <c r="AH4" s="101">
        <f>AH3-AC3</f>
        <v>366</v>
      </c>
      <c r="AI4" s="101">
        <f>AI3-AG3</f>
        <v>365</v>
      </c>
      <c r="AJ4" s="101">
        <f>AJ3-AH3</f>
        <v>365</v>
      </c>
    </row>
    <row r="5" spans="1:43" x14ac:dyDescent="0.2">
      <c r="A5" s="112"/>
      <c r="B5" s="112" t="s">
        <v>201</v>
      </c>
      <c r="C5" s="112"/>
      <c r="D5" s="113"/>
      <c r="E5" s="113"/>
      <c r="F5" s="113"/>
      <c r="G5" s="113"/>
      <c r="H5" s="113"/>
      <c r="I5" s="113"/>
      <c r="J5" s="113"/>
      <c r="K5" s="113"/>
      <c r="L5" s="113"/>
      <c r="M5" s="113"/>
      <c r="N5" s="113"/>
      <c r="O5" s="113"/>
      <c r="P5" s="113"/>
      <c r="Q5" s="113"/>
      <c r="R5" s="113"/>
      <c r="S5" s="113"/>
      <c r="T5" s="113"/>
      <c r="U5" s="113"/>
      <c r="V5" s="114"/>
      <c r="W5" s="114"/>
      <c r="X5" s="113"/>
      <c r="Y5" s="113"/>
      <c r="Z5" s="113"/>
      <c r="AA5" s="114"/>
      <c r="AB5" s="114"/>
      <c r="AC5" s="113"/>
      <c r="AD5" s="113"/>
      <c r="AE5" s="113"/>
      <c r="AF5" s="114"/>
      <c r="AG5" s="114"/>
      <c r="AH5" s="113"/>
      <c r="AI5" s="113"/>
      <c r="AJ5" s="113"/>
    </row>
    <row r="6" spans="1:43" x14ac:dyDescent="0.2">
      <c r="B6" t="s">
        <v>55</v>
      </c>
      <c r="C6" s="94"/>
      <c r="E6" s="96"/>
      <c r="F6" s="96"/>
      <c r="G6" s="96"/>
      <c r="H6" s="96"/>
      <c r="I6" s="95">
        <v>5561036</v>
      </c>
      <c r="J6" s="97"/>
      <c r="K6" s="97"/>
      <c r="L6" s="97"/>
      <c r="M6" s="97"/>
      <c r="N6" s="95">
        <v>5920545</v>
      </c>
      <c r="O6" s="97"/>
      <c r="P6" s="97"/>
      <c r="Q6" s="97"/>
      <c r="R6" s="97"/>
      <c r="S6" s="95">
        <v>7457169</v>
      </c>
      <c r="T6" s="97"/>
      <c r="U6" s="97"/>
      <c r="V6" s="97"/>
      <c r="W6" s="97"/>
      <c r="X6" s="95">
        <v>8558001</v>
      </c>
      <c r="Y6" s="97"/>
      <c r="Z6" s="97"/>
      <c r="AA6" s="97"/>
      <c r="AB6" s="97"/>
      <c r="AC6" s="95">
        <v>9804124</v>
      </c>
      <c r="AD6" s="97"/>
      <c r="AE6" s="102"/>
      <c r="AF6" s="102"/>
      <c r="AG6" s="102"/>
      <c r="AH6" s="95"/>
      <c r="AI6" s="101"/>
      <c r="AJ6" s="101"/>
    </row>
    <row r="7" spans="1:43" x14ac:dyDescent="0.2">
      <c r="B7" t="s">
        <v>54</v>
      </c>
      <c r="C7" s="94"/>
      <c r="E7" s="96"/>
      <c r="F7" s="96"/>
      <c r="G7" s="96"/>
      <c r="H7" s="96"/>
      <c r="I7" s="95">
        <v>25333</v>
      </c>
      <c r="J7" s="97"/>
      <c r="K7" s="97"/>
      <c r="L7" s="97"/>
      <c r="M7" s="97"/>
      <c r="N7" s="95">
        <v>64089</v>
      </c>
      <c r="O7" s="97"/>
      <c r="P7" s="97"/>
      <c r="Q7" s="97"/>
      <c r="R7" s="97"/>
      <c r="S7" s="95">
        <v>89892</v>
      </c>
      <c r="T7" s="97"/>
      <c r="U7" s="97"/>
      <c r="V7" s="97"/>
      <c r="W7" s="97"/>
      <c r="X7" s="95">
        <v>76651</v>
      </c>
      <c r="Y7" s="97"/>
      <c r="Z7" s="97"/>
      <c r="AA7" s="97"/>
      <c r="AB7" s="97"/>
      <c r="AC7" s="95">
        <v>67525</v>
      </c>
      <c r="AD7" s="97"/>
      <c r="AE7" s="102"/>
      <c r="AF7" s="102"/>
      <c r="AG7" s="102"/>
      <c r="AH7" s="95"/>
      <c r="AI7" s="101"/>
      <c r="AJ7" s="101"/>
    </row>
    <row r="8" spans="1:43" s="11" customFormat="1" x14ac:dyDescent="0.2">
      <c r="B8" s="11" t="s">
        <v>53</v>
      </c>
      <c r="C8" s="104"/>
      <c r="E8" s="106"/>
      <c r="F8" s="106"/>
      <c r="G8" s="106"/>
      <c r="H8" s="106"/>
      <c r="I8" s="105">
        <v>5586369</v>
      </c>
      <c r="J8" s="97"/>
      <c r="K8" s="97"/>
      <c r="L8" s="97"/>
      <c r="M8" s="97"/>
      <c r="N8" s="105">
        <v>5984634</v>
      </c>
      <c r="O8" s="97"/>
      <c r="P8" s="97"/>
      <c r="Q8" s="97"/>
      <c r="R8" s="97"/>
      <c r="S8" s="105">
        <v>7547061</v>
      </c>
      <c r="T8" s="97"/>
      <c r="U8" s="97"/>
      <c r="V8" s="97"/>
      <c r="W8" s="97"/>
      <c r="X8" s="105">
        <v>8634652</v>
      </c>
      <c r="Y8" s="97"/>
      <c r="Z8" s="97"/>
      <c r="AA8" s="97"/>
      <c r="AB8" s="97"/>
      <c r="AC8" s="105">
        <v>9871649</v>
      </c>
      <c r="AD8" s="107"/>
      <c r="AE8" s="108"/>
      <c r="AF8" s="108"/>
      <c r="AG8" s="108"/>
      <c r="AH8" s="105"/>
      <c r="AI8" s="109"/>
      <c r="AJ8" s="109"/>
    </row>
    <row r="9" spans="1:43" s="11" customFormat="1" x14ac:dyDescent="0.2">
      <c r="C9" s="104"/>
      <c r="E9" s="106"/>
      <c r="F9" s="106"/>
      <c r="G9" s="106"/>
      <c r="H9" s="106"/>
      <c r="I9" s="105"/>
      <c r="J9" s="97"/>
      <c r="K9" s="97"/>
      <c r="L9" s="97"/>
      <c r="M9" s="97"/>
      <c r="N9" s="105"/>
      <c r="O9" s="97"/>
      <c r="P9" s="97"/>
      <c r="Q9" s="97"/>
      <c r="R9" s="97"/>
      <c r="S9" s="105"/>
      <c r="T9" s="97"/>
      <c r="U9" s="97"/>
      <c r="V9" s="97"/>
      <c r="W9" s="97"/>
      <c r="X9" s="105"/>
      <c r="Y9" s="97"/>
      <c r="Z9" s="97"/>
      <c r="AA9" s="97"/>
      <c r="AB9" s="97"/>
      <c r="AC9" s="105"/>
      <c r="AD9" s="107"/>
      <c r="AE9" s="108"/>
      <c r="AF9" s="108"/>
      <c r="AG9" s="108"/>
      <c r="AH9" s="105"/>
      <c r="AI9" s="109"/>
      <c r="AJ9" s="109"/>
    </row>
    <row r="10" spans="1:43" ht="15" customHeight="1" x14ac:dyDescent="0.2">
      <c r="B10" s="103" t="s">
        <v>52</v>
      </c>
      <c r="C10" s="94"/>
      <c r="E10" s="96"/>
      <c r="F10" s="96"/>
      <c r="G10" s="96"/>
      <c r="H10" s="96"/>
      <c r="I10" s="95"/>
      <c r="J10" s="97"/>
      <c r="K10" s="97"/>
      <c r="L10" s="97"/>
      <c r="M10" s="97"/>
      <c r="N10" s="95"/>
      <c r="O10" s="97"/>
      <c r="P10" s="97"/>
      <c r="Q10" s="97"/>
      <c r="R10" s="97"/>
      <c r="S10" s="95"/>
      <c r="T10" s="97"/>
      <c r="U10" s="97"/>
      <c r="V10" s="97"/>
      <c r="W10" s="97"/>
      <c r="X10" s="95"/>
      <c r="Y10" s="97"/>
      <c r="Z10" s="97"/>
      <c r="AA10" s="97"/>
      <c r="AB10" s="97"/>
      <c r="AC10" s="95"/>
      <c r="AD10" s="97"/>
      <c r="AE10" s="102"/>
      <c r="AF10" s="102"/>
      <c r="AG10" s="102"/>
      <c r="AH10" s="95"/>
      <c r="AI10" s="101"/>
      <c r="AJ10" s="101"/>
    </row>
    <row r="11" spans="1:43" x14ac:dyDescent="0.2">
      <c r="B11" t="s">
        <v>51</v>
      </c>
      <c r="C11" s="94"/>
      <c r="E11" s="96"/>
      <c r="F11" s="96"/>
      <c r="G11" s="96"/>
      <c r="H11" s="96"/>
      <c r="I11" s="95">
        <v>1847916</v>
      </c>
      <c r="J11" s="97"/>
      <c r="K11" s="97"/>
      <c r="L11" s="97"/>
      <c r="M11" s="97"/>
      <c r="N11" s="95">
        <v>1932766</v>
      </c>
      <c r="O11" s="97"/>
      <c r="P11" s="97"/>
      <c r="Q11" s="97"/>
      <c r="R11" s="97"/>
      <c r="S11" s="95">
        <v>2308631</v>
      </c>
      <c r="T11" s="97"/>
      <c r="U11" s="97"/>
      <c r="V11" s="97"/>
      <c r="W11" s="97"/>
      <c r="X11" s="95">
        <v>2602245</v>
      </c>
      <c r="Y11" s="97"/>
      <c r="Z11" s="97"/>
      <c r="AA11" s="97"/>
      <c r="AB11" s="97"/>
      <c r="AC11" s="95">
        <v>2912564</v>
      </c>
      <c r="AD11" s="97"/>
      <c r="AE11" s="102"/>
      <c r="AF11" s="102"/>
      <c r="AG11" s="102"/>
      <c r="AH11" s="95"/>
      <c r="AI11" s="101"/>
      <c r="AJ11" s="101"/>
    </row>
    <row r="12" spans="1:43" x14ac:dyDescent="0.2">
      <c r="B12" t="s">
        <v>50</v>
      </c>
      <c r="C12" s="94"/>
      <c r="E12" s="96"/>
      <c r="F12" s="96"/>
      <c r="G12" s="96"/>
      <c r="H12" s="96"/>
      <c r="I12" s="95">
        <v>1472060</v>
      </c>
      <c r="J12" s="97"/>
      <c r="K12" s="97"/>
      <c r="L12" s="97"/>
      <c r="M12" s="97"/>
      <c r="N12" s="95">
        <v>1593013</v>
      </c>
      <c r="O12" s="97"/>
      <c r="P12" s="97"/>
      <c r="Q12" s="97"/>
      <c r="R12" s="97"/>
      <c r="S12" s="95">
        <v>1917761</v>
      </c>
      <c r="T12" s="97"/>
      <c r="U12" s="97"/>
      <c r="V12" s="97"/>
      <c r="W12" s="97"/>
      <c r="X12" s="95">
        <v>2197958</v>
      </c>
      <c r="Y12" s="97"/>
      <c r="Z12" s="97"/>
      <c r="AA12" s="97"/>
      <c r="AB12" s="97"/>
      <c r="AC12" s="95">
        <v>2440982</v>
      </c>
      <c r="AD12" s="97"/>
      <c r="AE12" s="102"/>
      <c r="AF12" s="102"/>
      <c r="AG12" s="102"/>
      <c r="AH12" s="95"/>
      <c r="AI12" s="101"/>
      <c r="AJ12" s="101"/>
    </row>
    <row r="13" spans="1:43" x14ac:dyDescent="0.2">
      <c r="B13" t="s">
        <v>49</v>
      </c>
      <c r="C13" s="94"/>
      <c r="E13" s="96"/>
      <c r="F13" s="96"/>
      <c r="G13" s="96"/>
      <c r="H13" s="96"/>
      <c r="I13" s="95">
        <v>363072</v>
      </c>
      <c r="J13" s="97"/>
      <c r="K13" s="97"/>
      <c r="L13" s="97"/>
      <c r="M13" s="97"/>
      <c r="N13" s="95">
        <v>387762</v>
      </c>
      <c r="O13" s="97"/>
      <c r="P13" s="97"/>
      <c r="Q13" s="97"/>
      <c r="R13" s="97"/>
      <c r="S13" s="95">
        <v>416606</v>
      </c>
      <c r="T13" s="97"/>
      <c r="U13" s="97"/>
      <c r="V13" s="97"/>
      <c r="W13" s="97"/>
      <c r="X13" s="95">
        <v>460425</v>
      </c>
      <c r="Y13" s="97"/>
      <c r="Z13" s="97"/>
      <c r="AA13" s="97"/>
      <c r="AB13" s="97"/>
      <c r="AC13" s="95">
        <v>503264</v>
      </c>
      <c r="AD13" s="97"/>
      <c r="AE13" s="102"/>
      <c r="AF13" s="102"/>
      <c r="AG13" s="102"/>
      <c r="AH13" s="95"/>
      <c r="AI13" s="101"/>
      <c r="AJ13" s="101"/>
    </row>
    <row r="14" spans="1:43" x14ac:dyDescent="0.2">
      <c r="B14" t="s">
        <v>48</v>
      </c>
      <c r="C14" s="94"/>
      <c r="E14" s="96"/>
      <c r="F14" s="96"/>
      <c r="G14" s="96"/>
      <c r="H14" s="96"/>
      <c r="I14" s="95">
        <v>760831</v>
      </c>
      <c r="J14" s="97"/>
      <c r="K14" s="97"/>
      <c r="L14" s="97"/>
      <c r="M14" s="97"/>
      <c r="N14" s="95">
        <v>1030012</v>
      </c>
      <c r="O14" s="97"/>
      <c r="P14" s="97"/>
      <c r="Q14" s="97"/>
      <c r="R14" s="97"/>
      <c r="S14" s="95">
        <v>1197054</v>
      </c>
      <c r="T14" s="97"/>
      <c r="U14" s="97"/>
      <c r="V14" s="97"/>
      <c r="W14" s="97"/>
      <c r="X14" s="95">
        <v>1311905</v>
      </c>
      <c r="Y14" s="97"/>
      <c r="Z14" s="97"/>
      <c r="AA14" s="97"/>
      <c r="AB14" s="97"/>
      <c r="AC14" s="95">
        <v>1428747</v>
      </c>
      <c r="AD14" s="97"/>
      <c r="AE14" s="102"/>
      <c r="AF14" s="102"/>
      <c r="AG14" s="102"/>
      <c r="AH14" s="95"/>
      <c r="AI14" s="101"/>
      <c r="AJ14" s="101"/>
    </row>
    <row r="15" spans="1:43" x14ac:dyDescent="0.2">
      <c r="B15" t="s">
        <v>47</v>
      </c>
      <c r="C15" s="94"/>
      <c r="E15" s="96"/>
      <c r="F15" s="96"/>
      <c r="G15" s="96"/>
      <c r="H15" s="96"/>
      <c r="I15" s="95">
        <v>451552</v>
      </c>
      <c r="J15" s="97"/>
      <c r="K15" s="97"/>
      <c r="L15" s="97"/>
      <c r="M15" s="97"/>
      <c r="N15" s="95">
        <v>466291</v>
      </c>
      <c r="O15" s="97"/>
      <c r="P15" s="97"/>
      <c r="Q15" s="97"/>
      <c r="R15" s="97"/>
      <c r="S15" s="95">
        <v>606854</v>
      </c>
      <c r="T15" s="97"/>
      <c r="U15" s="97"/>
      <c r="V15" s="97"/>
      <c r="W15" s="97"/>
      <c r="X15" s="95">
        <v>564191</v>
      </c>
      <c r="Y15" s="97"/>
      <c r="Z15" s="97"/>
      <c r="AA15" s="97"/>
      <c r="AB15" s="97"/>
      <c r="AC15" s="95">
        <v>633584</v>
      </c>
      <c r="AD15" s="97"/>
      <c r="AE15" s="102"/>
      <c r="AF15" s="102"/>
      <c r="AG15" s="102"/>
      <c r="AH15" s="95"/>
      <c r="AI15" s="101"/>
      <c r="AJ15" s="101"/>
    </row>
    <row r="16" spans="1:43" x14ac:dyDescent="0.2">
      <c r="B16" t="s">
        <v>46</v>
      </c>
      <c r="C16" s="94"/>
      <c r="E16" s="96"/>
      <c r="F16" s="96"/>
      <c r="G16" s="96"/>
      <c r="H16" s="96"/>
      <c r="I16" s="95">
        <v>212778</v>
      </c>
      <c r="J16" s="97"/>
      <c r="K16" s="97"/>
      <c r="L16" s="97"/>
      <c r="M16" s="97"/>
      <c r="N16" s="95">
        <v>238534</v>
      </c>
      <c r="O16" s="97"/>
      <c r="P16" s="97"/>
      <c r="Q16" s="97"/>
      <c r="R16" s="97"/>
      <c r="S16" s="95">
        <v>254657</v>
      </c>
      <c r="T16" s="97"/>
      <c r="U16" s="97"/>
      <c r="V16" s="97"/>
      <c r="W16" s="97"/>
      <c r="X16" s="95">
        <v>286826</v>
      </c>
      <c r="Y16" s="97"/>
      <c r="Z16" s="97"/>
      <c r="AA16" s="97"/>
      <c r="AB16" s="97"/>
      <c r="AC16" s="95">
        <v>319394</v>
      </c>
      <c r="AD16" s="97"/>
      <c r="AE16" s="102"/>
      <c r="AF16" s="102"/>
      <c r="AG16" s="102"/>
      <c r="AH16" s="95"/>
      <c r="AI16" s="101"/>
      <c r="AJ16" s="101"/>
    </row>
    <row r="17" spans="2:36" x14ac:dyDescent="0.2">
      <c r="B17" t="s">
        <v>45</v>
      </c>
      <c r="C17" s="94"/>
      <c r="E17" s="96"/>
      <c r="F17" s="96"/>
      <c r="G17" s="96"/>
      <c r="H17" s="96"/>
      <c r="I17" s="95">
        <v>11108</v>
      </c>
      <c r="J17" s="97"/>
      <c r="K17" s="97"/>
      <c r="L17" s="97"/>
      <c r="M17" s="97"/>
      <c r="N17" s="95">
        <v>15515</v>
      </c>
      <c r="O17" s="97"/>
      <c r="P17" s="97"/>
      <c r="Q17" s="97"/>
      <c r="R17" s="97"/>
      <c r="S17" s="95">
        <v>21264</v>
      </c>
      <c r="T17" s="97"/>
      <c r="U17" s="97"/>
      <c r="V17" s="97"/>
      <c r="W17" s="97"/>
      <c r="X17" s="95">
        <v>29560</v>
      </c>
      <c r="Y17" s="97"/>
      <c r="Z17" s="97"/>
      <c r="AA17" s="97"/>
      <c r="AB17" s="97"/>
      <c r="AC17" s="95">
        <v>36931</v>
      </c>
      <c r="AD17" s="97"/>
      <c r="AE17" s="102"/>
      <c r="AF17" s="102"/>
      <c r="AG17" s="102"/>
      <c r="AH17" s="95"/>
      <c r="AI17" s="101"/>
      <c r="AJ17" s="101"/>
    </row>
    <row r="18" spans="2:36" x14ac:dyDescent="0.2">
      <c r="B18" t="s">
        <v>44</v>
      </c>
      <c r="C18" s="94"/>
      <c r="E18" s="96"/>
      <c r="F18" s="96"/>
      <c r="G18" s="96"/>
      <c r="H18" s="96"/>
      <c r="I18" s="95">
        <v>23094</v>
      </c>
      <c r="J18" s="97"/>
      <c r="K18" s="97"/>
      <c r="L18" s="97"/>
      <c r="M18" s="97"/>
      <c r="N18" s="95">
        <v>30577</v>
      </c>
      <c r="O18" s="97"/>
      <c r="P18" s="97"/>
      <c r="Q18" s="97"/>
      <c r="R18" s="97"/>
      <c r="S18" s="95">
        <v>19291</v>
      </c>
      <c r="T18" s="97"/>
      <c r="U18" s="97"/>
      <c r="V18" s="97"/>
      <c r="W18" s="97"/>
      <c r="X18" s="95">
        <v>21139</v>
      </c>
      <c r="Y18" s="97"/>
      <c r="Z18" s="97"/>
      <c r="AA18" s="97"/>
      <c r="AB18" s="97"/>
      <c r="AC18" s="95">
        <v>38370</v>
      </c>
      <c r="AD18" s="97"/>
      <c r="AE18" s="102"/>
      <c r="AF18" s="102"/>
      <c r="AG18" s="102"/>
      <c r="AH18" s="95"/>
      <c r="AI18" s="101"/>
      <c r="AJ18" s="101"/>
    </row>
    <row r="19" spans="2:36" s="11" customFormat="1" x14ac:dyDescent="0.2">
      <c r="B19" s="11" t="s">
        <v>43</v>
      </c>
      <c r="C19" s="104"/>
      <c r="E19" s="106"/>
      <c r="F19" s="106"/>
      <c r="G19" s="106"/>
      <c r="H19" s="106"/>
      <c r="I19" s="105">
        <v>5142411</v>
      </c>
      <c r="J19" s="97"/>
      <c r="K19" s="97"/>
      <c r="L19" s="97"/>
      <c r="M19" s="97"/>
      <c r="N19" s="105">
        <v>5694470</v>
      </c>
      <c r="O19" s="97"/>
      <c r="P19" s="97"/>
      <c r="Q19" s="97"/>
      <c r="R19" s="97"/>
      <c r="S19" s="105">
        <v>6742118</v>
      </c>
      <c r="T19" s="97"/>
      <c r="U19" s="97"/>
      <c r="V19" s="97"/>
      <c r="W19" s="97"/>
      <c r="X19" s="105">
        <v>7474249</v>
      </c>
      <c r="Y19" s="97"/>
      <c r="Z19" s="97"/>
      <c r="AA19" s="97"/>
      <c r="AB19" s="97"/>
      <c r="AC19" s="105">
        <v>8313836</v>
      </c>
      <c r="AD19" s="107"/>
      <c r="AE19" s="108"/>
      <c r="AF19" s="108"/>
      <c r="AG19" s="108"/>
      <c r="AH19" s="105"/>
      <c r="AI19" s="109"/>
      <c r="AJ19" s="109"/>
    </row>
    <row r="20" spans="2:36" s="11" customFormat="1" x14ac:dyDescent="0.2">
      <c r="C20" s="104"/>
      <c r="E20" s="106"/>
      <c r="F20" s="106"/>
      <c r="G20" s="106"/>
      <c r="H20" s="106"/>
      <c r="I20" s="105"/>
      <c r="J20" s="97"/>
      <c r="K20" s="97"/>
      <c r="L20" s="97"/>
      <c r="M20" s="97"/>
      <c r="N20" s="105"/>
      <c r="O20" s="97"/>
      <c r="P20" s="97"/>
      <c r="Q20" s="97"/>
      <c r="R20" s="97"/>
      <c r="S20" s="105"/>
      <c r="T20" s="97"/>
      <c r="U20" s="97"/>
      <c r="V20" s="97"/>
      <c r="W20" s="97"/>
      <c r="X20" s="105"/>
      <c r="Y20" s="97"/>
      <c r="Z20" s="97"/>
      <c r="AA20" s="97"/>
      <c r="AB20" s="97"/>
      <c r="AC20" s="105"/>
      <c r="AD20" s="107"/>
      <c r="AE20" s="108"/>
      <c r="AF20" s="108"/>
      <c r="AG20" s="108"/>
      <c r="AH20" s="105"/>
      <c r="AI20" s="109"/>
      <c r="AJ20" s="109"/>
    </row>
    <row r="21" spans="2:36" s="11" customFormat="1" x14ac:dyDescent="0.2">
      <c r="B21" s="11" t="s">
        <v>42</v>
      </c>
      <c r="C21" s="104"/>
      <c r="E21" s="106"/>
      <c r="F21" s="106"/>
      <c r="G21" s="106"/>
      <c r="H21" s="106"/>
      <c r="I21" s="105">
        <v>443958</v>
      </c>
      <c r="J21" s="97"/>
      <c r="K21" s="97"/>
      <c r="L21" s="97"/>
      <c r="M21" s="97"/>
      <c r="N21" s="105">
        <v>290164</v>
      </c>
      <c r="O21" s="97"/>
      <c r="P21" s="97"/>
      <c r="Q21" s="97"/>
      <c r="R21" s="97"/>
      <c r="S21" s="105">
        <v>804943</v>
      </c>
      <c r="T21" s="97"/>
      <c r="U21" s="97"/>
      <c r="V21" s="97"/>
      <c r="W21" s="97"/>
      <c r="X21" s="105">
        <v>1160403</v>
      </c>
      <c r="Y21" s="97"/>
      <c r="Z21" s="97"/>
      <c r="AA21" s="97"/>
      <c r="AB21" s="97"/>
      <c r="AC21" s="105">
        <v>1557813</v>
      </c>
      <c r="AD21" s="107"/>
      <c r="AE21" s="108"/>
      <c r="AF21" s="108"/>
      <c r="AG21" s="108"/>
      <c r="AH21" s="105"/>
      <c r="AI21" s="109"/>
      <c r="AJ21" s="109"/>
    </row>
    <row r="22" spans="2:36" x14ac:dyDescent="0.2">
      <c r="B22" t="s">
        <v>41</v>
      </c>
      <c r="C22" s="94"/>
      <c r="E22" s="96"/>
      <c r="F22" s="96"/>
      <c r="G22" s="96"/>
      <c r="H22" s="96"/>
      <c r="I22" s="95">
        <v>14327</v>
      </c>
      <c r="J22" s="97"/>
      <c r="K22" s="97"/>
      <c r="L22" s="97"/>
      <c r="M22" s="97"/>
      <c r="N22" s="95">
        <v>3617</v>
      </c>
      <c r="O22" s="97"/>
      <c r="P22" s="97"/>
      <c r="Q22" s="97"/>
      <c r="R22" s="97"/>
      <c r="S22" s="95">
        <v>7820</v>
      </c>
      <c r="T22" s="97"/>
      <c r="U22" s="97"/>
      <c r="V22" s="97"/>
      <c r="W22" s="97"/>
      <c r="X22" s="95">
        <v>21128</v>
      </c>
      <c r="Y22" s="97"/>
      <c r="Z22" s="97"/>
      <c r="AA22" s="97"/>
      <c r="AB22" s="97"/>
      <c r="AC22" s="95">
        <v>62693</v>
      </c>
      <c r="AD22" s="97"/>
      <c r="AE22" s="102"/>
      <c r="AF22" s="102"/>
      <c r="AG22" s="102"/>
      <c r="AH22" s="95"/>
      <c r="AI22" s="101"/>
      <c r="AJ22" s="101"/>
    </row>
    <row r="23" spans="2:36" x14ac:dyDescent="0.2">
      <c r="B23" t="s">
        <v>40</v>
      </c>
      <c r="C23" s="94"/>
      <c r="E23" s="96"/>
      <c r="F23" s="96"/>
      <c r="G23" s="96"/>
      <c r="H23" s="96"/>
      <c r="I23" s="95">
        <v>458285</v>
      </c>
      <c r="J23" s="97"/>
      <c r="K23" s="97"/>
      <c r="L23" s="97"/>
      <c r="M23" s="97"/>
      <c r="N23" s="95">
        <v>293781</v>
      </c>
      <c r="O23" s="97"/>
      <c r="P23" s="97"/>
      <c r="Q23" s="97"/>
      <c r="R23" s="97"/>
      <c r="S23" s="95">
        <v>812763</v>
      </c>
      <c r="T23" s="97"/>
      <c r="U23" s="97"/>
      <c r="V23" s="97"/>
      <c r="W23" s="97"/>
      <c r="X23" s="95">
        <v>1181531</v>
      </c>
      <c r="Y23" s="97"/>
      <c r="Z23" s="97"/>
      <c r="AA23" s="97"/>
      <c r="AB23" s="97"/>
      <c r="AC23" s="95">
        <v>1620506</v>
      </c>
      <c r="AD23" s="97"/>
      <c r="AE23" s="102"/>
      <c r="AF23" s="102"/>
      <c r="AG23" s="102"/>
      <c r="AH23" s="95"/>
      <c r="AI23" s="101"/>
      <c r="AJ23" s="101"/>
    </row>
    <row r="24" spans="2:36" x14ac:dyDescent="0.2">
      <c r="B24" t="s">
        <v>39</v>
      </c>
      <c r="C24" s="94"/>
      <c r="E24" s="96"/>
      <c r="F24" s="96"/>
      <c r="G24" s="96"/>
      <c r="H24" s="96"/>
      <c r="I24" s="95">
        <v>-108127</v>
      </c>
      <c r="J24" s="97"/>
      <c r="K24" s="97"/>
      <c r="L24" s="97"/>
      <c r="M24" s="97"/>
      <c r="N24" s="95">
        <v>61985</v>
      </c>
      <c r="O24" s="97"/>
      <c r="P24" s="97"/>
      <c r="Q24" s="97"/>
      <c r="R24" s="97"/>
      <c r="S24" s="95">
        <v>-159779</v>
      </c>
      <c r="T24" s="97"/>
      <c r="U24" s="97"/>
      <c r="V24" s="97"/>
      <c r="W24" s="97"/>
      <c r="X24" s="95">
        <v>-282430</v>
      </c>
      <c r="Y24" s="97"/>
      <c r="Z24" s="97"/>
      <c r="AA24" s="97"/>
      <c r="AB24" s="97"/>
      <c r="AC24" s="95">
        <v>-391769</v>
      </c>
      <c r="AD24" s="97"/>
      <c r="AE24" s="102"/>
      <c r="AF24" s="102"/>
      <c r="AG24" s="102"/>
      <c r="AH24" s="95"/>
      <c r="AI24" s="101"/>
      <c r="AJ24" s="101"/>
    </row>
    <row r="25" spans="2:36" s="11" customFormat="1" x14ac:dyDescent="0.2">
      <c r="B25" s="11" t="s">
        <v>38</v>
      </c>
      <c r="C25" s="104"/>
      <c r="E25" s="106"/>
      <c r="F25" s="106"/>
      <c r="G25" s="106"/>
      <c r="H25" s="106"/>
      <c r="I25" s="105">
        <v>350158</v>
      </c>
      <c r="J25" s="97"/>
      <c r="K25" s="97"/>
      <c r="L25" s="97"/>
      <c r="M25" s="97"/>
      <c r="N25" s="105">
        <v>355766</v>
      </c>
      <c r="O25" s="97"/>
      <c r="P25" s="97"/>
      <c r="Q25" s="97"/>
      <c r="R25" s="97"/>
      <c r="S25" s="105">
        <v>652984</v>
      </c>
      <c r="T25" s="97"/>
      <c r="U25" s="97"/>
      <c r="V25" s="97"/>
      <c r="W25" s="97"/>
      <c r="X25" s="105">
        <v>899101</v>
      </c>
      <c r="Y25" s="97"/>
      <c r="Z25" s="97"/>
      <c r="AA25" s="97"/>
      <c r="AB25" s="97"/>
      <c r="AC25" s="105">
        <v>1228737</v>
      </c>
      <c r="AD25" s="107"/>
      <c r="AE25" s="108"/>
      <c r="AF25" s="108"/>
      <c r="AG25" s="108"/>
      <c r="AH25" s="105"/>
      <c r="AI25" s="109"/>
      <c r="AJ25" s="109"/>
    </row>
    <row r="26" spans="2:36" s="11" customFormat="1" x14ac:dyDescent="0.2">
      <c r="C26" s="104"/>
      <c r="E26" s="106"/>
      <c r="F26" s="106"/>
      <c r="G26" s="106"/>
      <c r="H26" s="106"/>
      <c r="I26" s="105"/>
      <c r="J26" s="97"/>
      <c r="K26" s="97"/>
      <c r="L26" s="97"/>
      <c r="M26" s="97"/>
      <c r="N26" s="105"/>
      <c r="O26" s="97"/>
      <c r="P26" s="97"/>
      <c r="Q26" s="97"/>
      <c r="R26" s="97"/>
      <c r="S26" s="105"/>
      <c r="T26" s="97"/>
      <c r="U26" s="97"/>
      <c r="V26" s="97"/>
      <c r="W26" s="97"/>
      <c r="X26" s="105"/>
      <c r="Y26" s="97"/>
      <c r="Z26" s="97"/>
      <c r="AA26" s="97"/>
      <c r="AB26" s="97"/>
      <c r="AC26" s="105"/>
      <c r="AD26" s="107"/>
      <c r="AE26" s="108"/>
      <c r="AF26" s="108"/>
      <c r="AG26" s="108"/>
      <c r="AH26" s="105"/>
      <c r="AI26" s="109"/>
      <c r="AJ26" s="109"/>
    </row>
    <row r="27" spans="2:36" s="11" customFormat="1" x14ac:dyDescent="0.2">
      <c r="B27" s="11" t="s">
        <v>37</v>
      </c>
      <c r="C27" s="104"/>
      <c r="E27" s="106"/>
      <c r="F27" s="106"/>
      <c r="G27" s="106"/>
      <c r="H27" s="106"/>
      <c r="I27" s="105"/>
      <c r="J27" s="97"/>
      <c r="K27" s="97"/>
      <c r="L27" s="97"/>
      <c r="M27" s="97"/>
      <c r="N27" s="105"/>
      <c r="O27" s="97"/>
      <c r="P27" s="97"/>
      <c r="Q27" s="97"/>
      <c r="R27" s="97"/>
      <c r="S27" s="105"/>
      <c r="T27" s="97"/>
      <c r="U27" s="97"/>
      <c r="V27" s="97"/>
      <c r="W27" s="97"/>
      <c r="X27" s="105"/>
      <c r="Y27" s="97"/>
      <c r="Z27" s="97"/>
      <c r="AA27" s="97"/>
      <c r="AB27" s="97"/>
      <c r="AC27" s="105"/>
      <c r="AD27" s="107"/>
      <c r="AE27" s="108"/>
      <c r="AF27" s="108"/>
      <c r="AG27" s="108"/>
      <c r="AH27" s="105"/>
      <c r="AI27" s="109"/>
      <c r="AJ27" s="109"/>
    </row>
    <row r="28" spans="2:36" x14ac:dyDescent="0.2">
      <c r="B28" t="s">
        <v>35</v>
      </c>
      <c r="C28" s="94"/>
      <c r="E28" s="96"/>
      <c r="F28" s="96"/>
      <c r="G28" s="96"/>
      <c r="H28" s="96"/>
      <c r="I28" s="110">
        <f t="shared" ref="I28:X28" si="0">I25/I32</f>
        <v>0.25245710165825525</v>
      </c>
      <c r="J28" s="117"/>
      <c r="K28" s="117"/>
      <c r="L28" s="117"/>
      <c r="M28" s="117"/>
      <c r="N28" s="110">
        <f t="shared" si="0"/>
        <v>0.25487409105562919</v>
      </c>
      <c r="O28" s="117"/>
      <c r="P28" s="117"/>
      <c r="Q28" s="117"/>
      <c r="R28" s="117"/>
      <c r="S28" s="110">
        <f t="shared" si="0"/>
        <v>0.46422863642826673</v>
      </c>
      <c r="T28" s="116"/>
      <c r="U28" s="116"/>
      <c r="V28" s="116"/>
      <c r="W28" s="116"/>
      <c r="X28" s="110">
        <f t="shared" si="0"/>
        <v>0.64565078453197366</v>
      </c>
      <c r="Y28" s="97"/>
      <c r="Z28" s="97"/>
      <c r="AA28" s="97"/>
      <c r="AB28" s="97"/>
      <c r="AC28" s="110">
        <f>AC25/AC32</f>
        <v>0.89184322264561788</v>
      </c>
      <c r="AD28" s="97"/>
      <c r="AE28" s="102"/>
      <c r="AF28" s="102"/>
      <c r="AG28" s="102"/>
      <c r="AH28" s="95"/>
      <c r="AI28" s="101"/>
      <c r="AJ28" s="101"/>
    </row>
    <row r="29" spans="2:36" x14ac:dyDescent="0.2">
      <c r="B29" t="s">
        <v>34</v>
      </c>
      <c r="C29" s="94"/>
      <c r="E29" s="96"/>
      <c r="F29" s="96"/>
      <c r="G29" s="96"/>
      <c r="H29" s="96"/>
      <c r="I29" s="110">
        <f t="shared" ref="I29:X29" si="1">I25/I33</f>
        <v>0.24750521293514754</v>
      </c>
      <c r="J29" s="117"/>
      <c r="K29" s="117"/>
      <c r="L29" s="117"/>
      <c r="M29" s="117"/>
      <c r="N29" s="110">
        <f t="shared" si="1"/>
        <v>0.2503983671171171</v>
      </c>
      <c r="O29" s="117"/>
      <c r="P29" s="117"/>
      <c r="Q29" s="117"/>
      <c r="R29" s="117"/>
      <c r="S29" s="110">
        <f t="shared" si="1"/>
        <v>0.4580575918066711</v>
      </c>
      <c r="T29" s="116"/>
      <c r="U29" s="116"/>
      <c r="V29" s="116"/>
      <c r="W29" s="116"/>
      <c r="X29" s="110">
        <f t="shared" si="1"/>
        <v>0.64079609436248308</v>
      </c>
      <c r="Y29" s="97"/>
      <c r="Z29" s="97"/>
      <c r="AA29" s="97"/>
      <c r="AB29" s="97"/>
      <c r="AC29" s="110">
        <f>AC25/AC33</f>
        <v>0.88685456513893901</v>
      </c>
      <c r="AD29" s="97"/>
      <c r="AE29" s="102"/>
      <c r="AF29" s="102"/>
      <c r="AG29" s="102"/>
      <c r="AH29" s="95"/>
      <c r="AI29" s="101"/>
      <c r="AJ29" s="101"/>
    </row>
    <row r="30" spans="2:36" x14ac:dyDescent="0.2">
      <c r="C30" s="94"/>
      <c r="E30" s="96"/>
      <c r="F30" s="96"/>
      <c r="G30" s="96"/>
      <c r="H30" s="96"/>
      <c r="I30" s="95"/>
      <c r="J30" s="97"/>
      <c r="K30" s="97"/>
      <c r="L30" s="97"/>
      <c r="M30" s="97"/>
      <c r="N30" s="95"/>
      <c r="O30" s="97"/>
      <c r="P30" s="97"/>
      <c r="Q30" s="97"/>
      <c r="R30" s="97"/>
      <c r="S30" s="95"/>
      <c r="T30" s="97"/>
      <c r="U30" s="97"/>
      <c r="V30" s="97"/>
      <c r="W30" s="97"/>
      <c r="X30" s="95"/>
      <c r="Y30" s="97"/>
      <c r="Z30" s="97"/>
      <c r="AA30" s="97"/>
      <c r="AB30" s="97"/>
      <c r="AC30" s="95"/>
      <c r="AD30" s="97"/>
      <c r="AE30" s="102"/>
      <c r="AF30" s="102"/>
      <c r="AG30" s="102"/>
      <c r="AH30" s="95"/>
      <c r="AI30" s="101"/>
      <c r="AJ30" s="101"/>
    </row>
    <row r="31" spans="2:36" s="11" customFormat="1" x14ac:dyDescent="0.2">
      <c r="B31" s="11" t="s">
        <v>36</v>
      </c>
      <c r="C31" s="104"/>
      <c r="E31" s="106"/>
      <c r="F31" s="106"/>
      <c r="G31" s="106"/>
      <c r="H31" s="106"/>
      <c r="I31" s="105"/>
      <c r="J31" s="97"/>
      <c r="K31" s="97"/>
      <c r="L31" s="97"/>
      <c r="M31" s="97"/>
      <c r="N31" s="105"/>
      <c r="O31" s="97"/>
      <c r="P31" s="97"/>
      <c r="Q31" s="97"/>
      <c r="R31" s="97"/>
      <c r="S31" s="105"/>
      <c r="T31" s="97"/>
      <c r="U31" s="97"/>
      <c r="V31" s="97"/>
      <c r="W31" s="97"/>
      <c r="X31" s="105"/>
      <c r="Y31" s="97"/>
      <c r="Z31" s="97"/>
      <c r="AA31" s="97"/>
      <c r="AB31" s="97"/>
      <c r="AC31" s="105"/>
      <c r="AD31" s="107"/>
      <c r="AE31" s="108"/>
      <c r="AF31" s="108"/>
      <c r="AG31" s="108"/>
      <c r="AH31" s="105"/>
      <c r="AI31" s="109"/>
      <c r="AJ31" s="109"/>
    </row>
    <row r="32" spans="2:36" x14ac:dyDescent="0.2">
      <c r="B32" t="s">
        <v>35</v>
      </c>
      <c r="C32" s="94"/>
      <c r="E32" s="96"/>
      <c r="F32" s="96"/>
      <c r="G32" s="96"/>
      <c r="H32" s="96"/>
      <c r="I32" s="95">
        <f>50*27740</f>
        <v>1387000</v>
      </c>
      <c r="J32" s="97"/>
      <c r="K32" s="97"/>
      <c r="L32" s="97"/>
      <c r="M32" s="97"/>
      <c r="N32" s="95">
        <f>50*27917</f>
        <v>1395850</v>
      </c>
      <c r="O32" s="97"/>
      <c r="P32" s="97"/>
      <c r="Q32" s="97"/>
      <c r="R32" s="97"/>
      <c r="S32" s="95">
        <f>50*28132</f>
        <v>1406600</v>
      </c>
      <c r="T32" s="97"/>
      <c r="U32" s="97"/>
      <c r="V32" s="97"/>
      <c r="W32" s="97"/>
      <c r="X32" s="95">
        <f>50*27851</f>
        <v>1392550</v>
      </c>
      <c r="Y32" s="97"/>
      <c r="Z32" s="97"/>
      <c r="AA32" s="97"/>
      <c r="AB32" s="97"/>
      <c r="AC32" s="95">
        <f>27555*50</f>
        <v>1377750</v>
      </c>
      <c r="AD32" s="97"/>
      <c r="AE32" s="102"/>
      <c r="AF32" s="102"/>
      <c r="AG32" s="102"/>
      <c r="AH32" s="95"/>
      <c r="AI32" s="101"/>
      <c r="AJ32" s="101"/>
    </row>
    <row r="33" spans="1:36" x14ac:dyDescent="0.2">
      <c r="B33" t="s">
        <v>34</v>
      </c>
      <c r="C33" s="94"/>
      <c r="E33" s="96"/>
      <c r="F33" s="96"/>
      <c r="G33" s="96"/>
      <c r="H33" s="96"/>
      <c r="I33" s="95">
        <f>50*28295</f>
        <v>1414750</v>
      </c>
      <c r="J33" s="97"/>
      <c r="K33" s="97"/>
      <c r="L33" s="97"/>
      <c r="M33" s="97"/>
      <c r="N33" s="95">
        <f>50*28416</f>
        <v>1420800</v>
      </c>
      <c r="O33" s="97"/>
      <c r="P33" s="97"/>
      <c r="Q33" s="97"/>
      <c r="R33" s="97"/>
      <c r="S33" s="95">
        <f>50*28511</f>
        <v>1425550</v>
      </c>
      <c r="T33" s="97"/>
      <c r="U33" s="97"/>
      <c r="V33" s="97"/>
      <c r="W33" s="97"/>
      <c r="X33" s="95">
        <f>50*28062</f>
        <v>1403100</v>
      </c>
      <c r="Y33" s="97"/>
      <c r="Z33" s="97"/>
      <c r="AA33" s="97"/>
      <c r="AB33" s="97"/>
      <c r="AC33" s="95">
        <f>27710*50</f>
        <v>1385500</v>
      </c>
      <c r="AD33" s="97"/>
      <c r="AE33" s="102"/>
      <c r="AF33" s="102"/>
      <c r="AG33" s="102"/>
      <c r="AH33" s="95"/>
      <c r="AI33" s="101"/>
      <c r="AJ33" s="101"/>
    </row>
    <row r="34" spans="1:36" x14ac:dyDescent="0.2">
      <c r="C34" s="94"/>
      <c r="E34" s="96"/>
      <c r="F34" s="96"/>
      <c r="G34" s="96"/>
      <c r="H34" s="96"/>
      <c r="I34" s="95"/>
      <c r="J34" s="97"/>
      <c r="K34" s="97"/>
      <c r="L34" s="97"/>
      <c r="M34" s="97"/>
      <c r="N34" s="95"/>
      <c r="O34" s="97"/>
      <c r="P34" s="97"/>
      <c r="Q34" s="97"/>
      <c r="R34" s="97"/>
      <c r="S34" s="95"/>
      <c r="T34" s="97"/>
      <c r="U34" s="97"/>
      <c r="V34" s="97"/>
      <c r="W34" s="97"/>
      <c r="X34" s="95"/>
      <c r="Y34" s="97"/>
      <c r="Z34" s="97"/>
      <c r="AA34" s="97"/>
      <c r="AB34" s="97"/>
      <c r="AC34" s="95"/>
      <c r="AD34" s="97"/>
      <c r="AE34" s="102"/>
      <c r="AF34" s="102"/>
      <c r="AG34" s="102"/>
      <c r="AH34" s="95"/>
      <c r="AI34" s="101"/>
      <c r="AJ34" s="101"/>
    </row>
    <row r="35" spans="1:36" x14ac:dyDescent="0.2">
      <c r="B35" t="s">
        <v>33</v>
      </c>
      <c r="C35" s="94"/>
      <c r="E35" s="96"/>
      <c r="F35" s="96"/>
      <c r="G35" s="96"/>
      <c r="H35" s="96"/>
      <c r="I35" s="95"/>
      <c r="J35" s="97"/>
      <c r="K35" s="97"/>
      <c r="L35" s="97"/>
      <c r="M35" s="97"/>
      <c r="N35" s="95"/>
      <c r="O35" s="97"/>
      <c r="P35" s="97"/>
      <c r="Q35" s="97"/>
      <c r="R35" s="97"/>
      <c r="S35" s="95"/>
      <c r="T35" s="97"/>
      <c r="U35" s="97"/>
      <c r="V35" s="97"/>
      <c r="W35" s="97"/>
      <c r="X35" s="95"/>
      <c r="Y35" s="97"/>
      <c r="Z35" s="97"/>
      <c r="AA35" s="97"/>
      <c r="AB35" s="97"/>
      <c r="AC35" s="95"/>
      <c r="AD35" s="97"/>
      <c r="AE35" s="102"/>
      <c r="AF35" s="102"/>
      <c r="AG35" s="102"/>
      <c r="AH35" s="95"/>
      <c r="AI35" s="101"/>
      <c r="AJ35" s="101"/>
    </row>
    <row r="36" spans="1:36" x14ac:dyDescent="0.2">
      <c r="B36" t="s">
        <v>32</v>
      </c>
      <c r="C36" s="94"/>
      <c r="E36" s="96"/>
      <c r="F36" s="96"/>
      <c r="G36" s="96"/>
      <c r="H36" s="96"/>
      <c r="I36" s="95">
        <v>873</v>
      </c>
      <c r="J36" s="97"/>
      <c r="K36" s="97"/>
      <c r="L36" s="97"/>
      <c r="M36" s="97"/>
      <c r="N36" s="95">
        <v>1134</v>
      </c>
      <c r="O36" s="97"/>
      <c r="P36" s="97"/>
      <c r="Q36" s="97"/>
      <c r="R36" s="97"/>
      <c r="S36" s="95">
        <v>-1125</v>
      </c>
      <c r="T36" s="97"/>
      <c r="U36" s="97"/>
      <c r="V36" s="97"/>
      <c r="W36" s="97"/>
      <c r="X36" s="95">
        <v>-2534</v>
      </c>
      <c r="Y36" s="97"/>
      <c r="Z36" s="97"/>
      <c r="AA36" s="97"/>
      <c r="AB36" s="97"/>
      <c r="AC36" s="95">
        <v>1231</v>
      </c>
      <c r="AD36" s="97"/>
      <c r="AE36" s="102"/>
      <c r="AF36" s="102"/>
      <c r="AG36" s="102"/>
      <c r="AH36" s="95"/>
      <c r="AI36" s="101"/>
      <c r="AJ36" s="101"/>
    </row>
    <row r="37" spans="1:36" x14ac:dyDescent="0.2">
      <c r="B37" t="s">
        <v>31</v>
      </c>
      <c r="C37" s="94"/>
      <c r="E37" s="96"/>
      <c r="F37" s="96"/>
      <c r="G37" s="96"/>
      <c r="H37" s="96"/>
      <c r="I37" s="95">
        <v>351031</v>
      </c>
      <c r="J37" s="97"/>
      <c r="K37" s="97"/>
      <c r="L37" s="97"/>
      <c r="M37" s="97"/>
      <c r="N37" s="95">
        <v>356900</v>
      </c>
      <c r="O37" s="97"/>
      <c r="P37" s="97"/>
      <c r="Q37" s="97"/>
      <c r="R37" s="97"/>
      <c r="S37" s="95">
        <v>651859</v>
      </c>
      <c r="T37" s="97"/>
      <c r="U37" s="97"/>
      <c r="V37" s="97"/>
      <c r="W37" s="97"/>
      <c r="X37" s="95">
        <v>896567</v>
      </c>
      <c r="Y37" s="97"/>
      <c r="Z37" s="97"/>
      <c r="AA37" s="97"/>
      <c r="AB37" s="97"/>
      <c r="AC37" s="95">
        <v>1229968</v>
      </c>
      <c r="AD37" s="97"/>
      <c r="AE37" s="102"/>
      <c r="AF37" s="102"/>
      <c r="AG37" s="102"/>
      <c r="AH37" s="95"/>
      <c r="AI37" s="101"/>
      <c r="AJ37" s="101"/>
    </row>
    <row r="38" spans="1:36" x14ac:dyDescent="0.2">
      <c r="B38" s="94"/>
      <c r="C38" s="94"/>
      <c r="E38" s="96"/>
      <c r="F38" s="96"/>
      <c r="G38" s="96"/>
      <c r="H38" s="96"/>
      <c r="I38" s="95"/>
      <c r="J38" s="97"/>
      <c r="K38" s="97"/>
      <c r="L38" s="97"/>
      <c r="M38" s="97"/>
      <c r="N38" s="98"/>
      <c r="O38" s="97"/>
      <c r="P38" s="97"/>
      <c r="Q38" s="97"/>
      <c r="R38" s="97"/>
      <c r="S38" s="98"/>
      <c r="T38" s="97"/>
      <c r="U38" s="97"/>
      <c r="V38" s="97"/>
      <c r="W38" s="97"/>
      <c r="X38" s="101"/>
      <c r="Y38" s="97"/>
      <c r="Z38" s="97"/>
      <c r="AA38" s="97"/>
      <c r="AB38" s="97"/>
      <c r="AC38" s="101"/>
      <c r="AD38" s="97"/>
      <c r="AE38" s="102"/>
      <c r="AF38" s="102"/>
      <c r="AG38" s="102"/>
      <c r="AH38" s="101"/>
      <c r="AI38" s="101"/>
      <c r="AJ38" s="101"/>
    </row>
    <row r="39" spans="1:36" x14ac:dyDescent="0.2">
      <c r="B39" s="94"/>
      <c r="C39" s="94"/>
      <c r="E39" s="96"/>
      <c r="F39" s="96"/>
      <c r="G39" s="96"/>
      <c r="H39" s="96"/>
      <c r="I39" s="95"/>
      <c r="J39" s="97"/>
      <c r="K39" s="97"/>
      <c r="L39" s="97"/>
      <c r="M39" s="97"/>
      <c r="N39" s="98"/>
      <c r="O39" s="97"/>
      <c r="P39" s="97"/>
      <c r="Q39" s="97"/>
      <c r="R39" s="97"/>
      <c r="S39" s="98"/>
      <c r="T39" s="97"/>
      <c r="U39" s="97"/>
      <c r="V39" s="97"/>
      <c r="W39" s="97"/>
      <c r="X39" s="101"/>
      <c r="Y39" s="97"/>
      <c r="Z39" s="102"/>
      <c r="AA39" s="102"/>
      <c r="AB39" s="102"/>
      <c r="AC39" s="101"/>
      <c r="AD39" s="97"/>
      <c r="AE39" s="102"/>
      <c r="AF39" s="102"/>
      <c r="AG39" s="102"/>
      <c r="AH39" s="101"/>
      <c r="AI39" s="101"/>
      <c r="AJ39" s="101"/>
    </row>
    <row r="40" spans="1:36" x14ac:dyDescent="0.2">
      <c r="B40" s="94"/>
      <c r="C40" s="94"/>
      <c r="E40" s="96"/>
      <c r="F40" s="96"/>
      <c r="G40" s="96"/>
      <c r="H40" s="96"/>
      <c r="I40" s="95"/>
      <c r="J40" s="97"/>
      <c r="K40" s="97"/>
      <c r="L40" s="97"/>
      <c r="M40" s="97"/>
      <c r="N40" s="98"/>
      <c r="O40" s="97"/>
      <c r="P40" s="97"/>
      <c r="Q40" s="97"/>
      <c r="R40" s="97"/>
      <c r="S40" s="98"/>
      <c r="T40" s="97"/>
      <c r="U40" s="102"/>
      <c r="V40" s="102"/>
      <c r="W40" s="102"/>
      <c r="X40" s="101"/>
      <c r="Y40" s="97"/>
      <c r="Z40" s="102"/>
      <c r="AA40" s="102"/>
      <c r="AB40" s="102"/>
      <c r="AC40" s="101"/>
      <c r="AD40" s="97"/>
      <c r="AE40" s="102"/>
      <c r="AF40" s="102"/>
      <c r="AG40" s="102"/>
      <c r="AH40" s="101"/>
      <c r="AI40" s="101"/>
      <c r="AJ40" s="101"/>
    </row>
    <row r="41" spans="1:36" x14ac:dyDescent="0.2">
      <c r="A41" s="112"/>
      <c r="B41" s="112" t="s">
        <v>203</v>
      </c>
      <c r="C41" s="112"/>
      <c r="D41" s="113"/>
      <c r="E41" s="113"/>
      <c r="F41" s="113"/>
      <c r="G41" s="113"/>
      <c r="H41" s="113"/>
      <c r="I41" s="113"/>
      <c r="J41" s="113"/>
      <c r="K41" s="113"/>
      <c r="L41" s="113"/>
      <c r="M41" s="113"/>
      <c r="N41" s="113"/>
      <c r="O41" s="113"/>
      <c r="P41" s="113"/>
      <c r="Q41" s="113"/>
      <c r="R41" s="113"/>
      <c r="S41" s="113"/>
      <c r="T41" s="113"/>
      <c r="U41" s="113"/>
      <c r="V41" s="114"/>
      <c r="W41" s="114"/>
      <c r="X41" s="113"/>
      <c r="Y41" s="113"/>
      <c r="Z41" s="113"/>
      <c r="AA41" s="114"/>
      <c r="AB41" s="114"/>
      <c r="AC41" s="113"/>
      <c r="AD41" s="113"/>
      <c r="AE41" s="113"/>
      <c r="AF41" s="114"/>
      <c r="AG41" s="114"/>
      <c r="AH41" s="113"/>
      <c r="AI41" s="113"/>
      <c r="AJ41" s="113"/>
    </row>
    <row r="42" spans="1:36" x14ac:dyDescent="0.2">
      <c r="B42" s="11" t="s">
        <v>96</v>
      </c>
      <c r="C42" s="94"/>
      <c r="E42" s="96"/>
      <c r="F42" s="96"/>
      <c r="G42" s="96"/>
      <c r="H42" s="96"/>
      <c r="I42" s="95"/>
      <c r="J42" s="97"/>
      <c r="K42" s="97"/>
      <c r="L42" s="97"/>
      <c r="M42" s="97"/>
      <c r="N42" s="98"/>
      <c r="O42" s="97"/>
      <c r="P42" s="97"/>
      <c r="Q42" s="97"/>
      <c r="R42" s="97"/>
      <c r="S42" s="98"/>
      <c r="T42" s="97"/>
      <c r="U42" s="102"/>
      <c r="V42" s="102"/>
      <c r="W42" s="102"/>
      <c r="X42" s="101"/>
      <c r="Y42" s="97"/>
      <c r="Z42" s="102"/>
      <c r="AA42" s="102"/>
      <c r="AB42" s="102"/>
      <c r="AC42" s="101"/>
      <c r="AD42" s="97"/>
      <c r="AE42" s="102"/>
      <c r="AF42" s="102"/>
      <c r="AG42" s="102"/>
      <c r="AH42" s="101"/>
      <c r="AI42" s="101"/>
      <c r="AJ42" s="101"/>
    </row>
    <row r="43" spans="1:36" x14ac:dyDescent="0.2">
      <c r="B43" s="11" t="s">
        <v>38</v>
      </c>
      <c r="C43" s="94"/>
      <c r="E43" s="96"/>
      <c r="F43" s="96"/>
      <c r="G43" s="96"/>
      <c r="H43" s="96"/>
      <c r="I43" s="95">
        <v>350158</v>
      </c>
      <c r="J43" s="95"/>
      <c r="K43" s="95"/>
      <c r="L43" s="95"/>
      <c r="M43" s="95"/>
      <c r="N43" s="95">
        <v>355766</v>
      </c>
      <c r="O43" s="95"/>
      <c r="P43" s="95"/>
      <c r="Q43" s="95"/>
      <c r="R43" s="95"/>
      <c r="S43" s="95">
        <v>652984</v>
      </c>
      <c r="T43" s="95"/>
      <c r="U43" s="95"/>
      <c r="V43" s="95"/>
      <c r="W43" s="95"/>
      <c r="X43" s="95">
        <v>899101</v>
      </c>
      <c r="Y43" s="95"/>
      <c r="Z43" s="95"/>
      <c r="AA43" s="95"/>
      <c r="AB43" s="95"/>
      <c r="AC43" s="95">
        <v>1228737</v>
      </c>
      <c r="AD43" s="95"/>
      <c r="AE43" s="95"/>
      <c r="AF43" s="95"/>
      <c r="AG43" s="95"/>
      <c r="AH43" s="95"/>
      <c r="AI43" s="95"/>
      <c r="AJ43" s="95"/>
    </row>
    <row r="44" spans="1:36" x14ac:dyDescent="0.2">
      <c r="B44" s="11" t="s">
        <v>95</v>
      </c>
      <c r="C44" s="94"/>
      <c r="E44" s="96"/>
      <c r="F44" s="96"/>
      <c r="G44" s="96"/>
      <c r="H44" s="96"/>
      <c r="I44" s="95"/>
      <c r="J44" s="95"/>
      <c r="K44" s="95"/>
      <c r="L44" s="95"/>
      <c r="M44" s="95"/>
      <c r="N44" s="95"/>
      <c r="O44" s="95"/>
      <c r="P44" s="95"/>
      <c r="Q44" s="95"/>
      <c r="R44" s="95"/>
      <c r="S44" s="95"/>
      <c r="T44" s="95"/>
      <c r="U44" s="95"/>
      <c r="V44" s="95"/>
      <c r="W44" s="95"/>
      <c r="X44" s="95"/>
      <c r="Y44" s="95"/>
      <c r="Z44" s="95"/>
      <c r="AA44" s="95"/>
      <c r="AB44" s="95"/>
      <c r="AC44" s="95"/>
      <c r="AD44" s="95"/>
      <c r="AE44" s="95"/>
      <c r="AF44" s="95"/>
      <c r="AG44" s="95"/>
      <c r="AH44" s="95"/>
      <c r="AI44" s="95"/>
      <c r="AJ44" s="95"/>
    </row>
    <row r="45" spans="1:36" x14ac:dyDescent="0.2">
      <c r="B45" t="s">
        <v>46</v>
      </c>
      <c r="C45" s="94"/>
      <c r="E45" s="96"/>
      <c r="F45" s="96"/>
      <c r="G45" s="96"/>
      <c r="H45" s="96"/>
      <c r="I45" s="95">
        <v>212778</v>
      </c>
      <c r="J45" s="95"/>
      <c r="K45" s="95"/>
      <c r="L45" s="95"/>
      <c r="M45" s="95"/>
      <c r="N45" s="95">
        <v>238534</v>
      </c>
      <c r="O45" s="95"/>
      <c r="P45" s="95"/>
      <c r="Q45" s="95"/>
      <c r="R45" s="95"/>
      <c r="S45" s="95">
        <v>254657</v>
      </c>
      <c r="T45" s="95"/>
      <c r="U45" s="95"/>
      <c r="V45" s="95"/>
      <c r="W45" s="95"/>
      <c r="X45" s="95">
        <v>286826</v>
      </c>
      <c r="Y45" s="95"/>
      <c r="Z45" s="95"/>
      <c r="AA45" s="95"/>
      <c r="AB45" s="95"/>
      <c r="AC45" s="95">
        <v>319394</v>
      </c>
      <c r="AD45" s="95"/>
      <c r="AE45" s="95"/>
      <c r="AF45" s="95"/>
      <c r="AG45" s="95"/>
      <c r="AH45" s="95"/>
      <c r="AI45" s="95"/>
      <c r="AJ45" s="95"/>
    </row>
    <row r="46" spans="1:36" x14ac:dyDescent="0.2">
      <c r="B46" t="s">
        <v>94</v>
      </c>
      <c r="C46" s="94"/>
      <c r="E46" s="96"/>
      <c r="F46" s="96"/>
      <c r="G46" s="96"/>
      <c r="H46" s="96"/>
      <c r="I46" s="95">
        <v>29962</v>
      </c>
      <c r="J46" s="95"/>
      <c r="K46" s="95"/>
      <c r="L46" s="95"/>
      <c r="M46" s="95"/>
      <c r="N46" s="95">
        <v>108350</v>
      </c>
      <c r="O46" s="95"/>
      <c r="P46" s="95"/>
      <c r="Q46" s="95"/>
      <c r="R46" s="95"/>
      <c r="S46" s="95">
        <v>-12357</v>
      </c>
      <c r="T46" s="95"/>
      <c r="U46" s="95"/>
      <c r="V46" s="95"/>
      <c r="W46" s="95"/>
      <c r="X46" s="95">
        <v>-43195</v>
      </c>
      <c r="Y46" s="95"/>
      <c r="Z46" s="95"/>
      <c r="AA46" s="95"/>
      <c r="AB46" s="95"/>
      <c r="AC46" s="95">
        <v>-9505</v>
      </c>
      <c r="AD46" s="95"/>
      <c r="AE46" s="95"/>
      <c r="AF46" s="95"/>
      <c r="AG46" s="95"/>
      <c r="AH46" s="95"/>
      <c r="AI46" s="95"/>
      <c r="AJ46" s="95"/>
    </row>
    <row r="47" spans="1:36" x14ac:dyDescent="0.2">
      <c r="B47" t="s">
        <v>44</v>
      </c>
      <c r="C47" s="94"/>
      <c r="E47" s="96"/>
      <c r="F47" s="96"/>
      <c r="G47" s="96"/>
      <c r="H47" s="96"/>
      <c r="I47" s="95">
        <v>15402</v>
      </c>
      <c r="J47" s="95"/>
      <c r="K47" s="95"/>
      <c r="L47" s="95"/>
      <c r="M47" s="95"/>
      <c r="N47" s="95">
        <v>28874</v>
      </c>
      <c r="O47" s="95"/>
      <c r="P47" s="95"/>
      <c r="Q47" s="95"/>
      <c r="R47" s="95"/>
      <c r="S47" s="95">
        <v>17086</v>
      </c>
      <c r="T47" s="95"/>
      <c r="U47" s="95"/>
      <c r="V47" s="95"/>
      <c r="W47" s="95"/>
      <c r="X47" s="95">
        <v>20738</v>
      </c>
      <c r="Y47" s="95"/>
      <c r="Z47" s="95"/>
      <c r="AA47" s="95"/>
      <c r="AB47" s="95"/>
      <c r="AC47" s="95">
        <v>37025</v>
      </c>
      <c r="AD47" s="95"/>
      <c r="AE47" s="95"/>
      <c r="AF47" s="95"/>
      <c r="AG47" s="95"/>
      <c r="AH47" s="95"/>
      <c r="AI47" s="95"/>
      <c r="AJ47" s="95"/>
    </row>
    <row r="48" spans="1:36" x14ac:dyDescent="0.2">
      <c r="B48" t="s">
        <v>93</v>
      </c>
      <c r="C48" s="94"/>
      <c r="E48" s="96"/>
      <c r="F48" s="96"/>
      <c r="G48" s="96"/>
      <c r="H48" s="96"/>
      <c r="I48" s="95">
        <v>33</v>
      </c>
      <c r="J48" s="95"/>
      <c r="K48" s="95"/>
      <c r="L48" s="95"/>
      <c r="M48" s="95"/>
      <c r="N48" s="95">
        <v>164</v>
      </c>
      <c r="O48" s="95"/>
      <c r="P48" s="95"/>
      <c r="Q48" s="95"/>
      <c r="R48" s="95"/>
      <c r="S48" s="95">
        <v>493</v>
      </c>
      <c r="T48" s="95"/>
      <c r="U48" s="95"/>
      <c r="V48" s="95"/>
      <c r="W48" s="95"/>
      <c r="X48" s="95">
        <v>-760</v>
      </c>
      <c r="Y48" s="95"/>
      <c r="Z48" s="95"/>
      <c r="AA48" s="95"/>
      <c r="AB48" s="95"/>
      <c r="AC48" s="95">
        <v>1570</v>
      </c>
      <c r="AD48" s="95"/>
      <c r="AE48" s="95"/>
      <c r="AF48" s="95"/>
      <c r="AG48" s="95"/>
      <c r="AH48" s="95"/>
      <c r="AI48" s="95"/>
      <c r="AJ48" s="95"/>
    </row>
    <row r="49" spans="2:36" x14ac:dyDescent="0.2">
      <c r="B49" t="s">
        <v>92</v>
      </c>
      <c r="C49" s="94"/>
      <c r="E49" s="96"/>
      <c r="F49" s="96"/>
      <c r="G49" s="96"/>
      <c r="H49" s="96"/>
      <c r="I49" s="95">
        <v>91396</v>
      </c>
      <c r="J49" s="95"/>
      <c r="K49" s="95"/>
      <c r="L49" s="95"/>
      <c r="M49" s="95"/>
      <c r="N49" s="95">
        <v>82626</v>
      </c>
      <c r="O49" s="95"/>
      <c r="P49" s="95"/>
      <c r="Q49" s="95"/>
      <c r="R49" s="95"/>
      <c r="S49" s="95">
        <v>176392</v>
      </c>
      <c r="T49" s="95"/>
      <c r="U49" s="95"/>
      <c r="V49" s="95"/>
      <c r="W49" s="95"/>
      <c r="X49" s="95">
        <v>98030</v>
      </c>
      <c r="Y49" s="95"/>
      <c r="Z49" s="95"/>
      <c r="AA49" s="95"/>
      <c r="AB49" s="95"/>
      <c r="AC49" s="95">
        <v>124016</v>
      </c>
      <c r="AD49" s="95"/>
      <c r="AE49" s="95"/>
      <c r="AF49" s="95"/>
      <c r="AG49" s="95"/>
      <c r="AH49" s="95"/>
      <c r="AI49" s="95"/>
      <c r="AJ49" s="95"/>
    </row>
    <row r="50" spans="2:36" x14ac:dyDescent="0.2">
      <c r="B50" t="s">
        <v>91</v>
      </c>
      <c r="C50" s="94"/>
      <c r="E50" s="96"/>
      <c r="F50" s="96"/>
      <c r="G50" s="96"/>
      <c r="H50" s="96"/>
      <c r="I50" s="95">
        <v>-10592</v>
      </c>
      <c r="J50" s="95"/>
      <c r="K50" s="95"/>
      <c r="L50" s="95"/>
      <c r="M50" s="95"/>
      <c r="N50" s="95">
        <v>3643</v>
      </c>
      <c r="O50" s="95"/>
      <c r="P50" s="95"/>
      <c r="Q50" s="95"/>
      <c r="R50" s="95"/>
      <c r="S50" s="95">
        <v>-4599</v>
      </c>
      <c r="T50" s="95"/>
      <c r="U50" s="95"/>
      <c r="V50" s="95"/>
      <c r="W50" s="95"/>
      <c r="X50" s="95">
        <v>-16202</v>
      </c>
      <c r="Y50" s="95"/>
      <c r="Z50" s="95"/>
      <c r="AA50" s="95"/>
      <c r="AB50" s="95"/>
      <c r="AC50" s="95">
        <v>-13080</v>
      </c>
      <c r="AD50" s="95"/>
      <c r="AE50" s="95"/>
      <c r="AF50" s="95"/>
      <c r="AG50" s="95"/>
      <c r="AH50" s="95"/>
      <c r="AI50" s="95"/>
      <c r="AJ50" s="95"/>
    </row>
    <row r="51" spans="2:36" x14ac:dyDescent="0.2">
      <c r="B51" s="11" t="s">
        <v>90</v>
      </c>
      <c r="I51" s="95"/>
      <c r="J51" s="95"/>
      <c r="K51" s="95"/>
      <c r="L51" s="95"/>
      <c r="M51" s="95"/>
      <c r="N51" s="95"/>
      <c r="O51" s="95"/>
      <c r="P51" s="95"/>
      <c r="Q51" s="95"/>
      <c r="R51" s="95"/>
      <c r="S51" s="95"/>
      <c r="T51" s="95"/>
      <c r="U51" s="95"/>
      <c r="V51" s="95"/>
      <c r="W51" s="95"/>
      <c r="X51" s="95"/>
      <c r="Y51" s="95"/>
      <c r="Z51" s="95"/>
      <c r="AA51" s="95"/>
      <c r="AB51" s="95"/>
      <c r="AC51" s="95"/>
      <c r="AD51" s="95"/>
      <c r="AE51" s="95"/>
      <c r="AF51" s="95"/>
      <c r="AG51" s="95"/>
      <c r="AH51" s="95"/>
      <c r="AI51" s="95"/>
      <c r="AJ51" s="95"/>
    </row>
    <row r="52" spans="2:36" x14ac:dyDescent="0.2">
      <c r="B52" t="s">
        <v>89</v>
      </c>
      <c r="I52" s="95">
        <v>-2630</v>
      </c>
      <c r="J52" s="95"/>
      <c r="K52" s="95"/>
      <c r="L52" s="95"/>
      <c r="M52" s="95"/>
      <c r="N52" s="95">
        <v>3010</v>
      </c>
      <c r="O52" s="95"/>
      <c r="P52" s="95"/>
      <c r="Q52" s="95"/>
      <c r="R52" s="95"/>
      <c r="S52" s="95">
        <v>-1687</v>
      </c>
      <c r="T52" s="95"/>
      <c r="U52" s="95"/>
      <c r="V52" s="95"/>
      <c r="W52" s="95"/>
      <c r="X52" s="95">
        <v>-14026</v>
      </c>
      <c r="Y52" s="95"/>
      <c r="Z52" s="95"/>
      <c r="AA52" s="95"/>
      <c r="AB52" s="95"/>
      <c r="AC52" s="95">
        <v>-11216</v>
      </c>
      <c r="AD52" s="95"/>
      <c r="AE52" s="95"/>
      <c r="AF52" s="95"/>
      <c r="AG52" s="95"/>
      <c r="AH52" s="95"/>
      <c r="AI52" s="95"/>
      <c r="AJ52" s="95"/>
    </row>
    <row r="53" spans="2:36" x14ac:dyDescent="0.2">
      <c r="B53" t="s">
        <v>88</v>
      </c>
      <c r="I53" s="95">
        <v>-4530</v>
      </c>
      <c r="J53" s="95"/>
      <c r="K53" s="95"/>
      <c r="L53" s="95"/>
      <c r="M53" s="95"/>
      <c r="N53" s="95">
        <v>-394</v>
      </c>
      <c r="O53" s="95"/>
      <c r="P53" s="95"/>
      <c r="Q53" s="95"/>
      <c r="R53" s="95"/>
      <c r="S53" s="95">
        <v>-6392</v>
      </c>
      <c r="T53" s="95"/>
      <c r="U53" s="95"/>
      <c r="V53" s="95"/>
      <c r="W53" s="95"/>
      <c r="X53" s="95">
        <v>-3011</v>
      </c>
      <c r="Y53" s="95"/>
      <c r="Z53" s="95"/>
      <c r="AA53" s="95"/>
      <c r="AB53" s="95"/>
      <c r="AC53" s="95">
        <v>-3649</v>
      </c>
      <c r="AD53" s="95"/>
      <c r="AE53" s="95"/>
      <c r="AF53" s="95"/>
      <c r="AG53" s="95"/>
      <c r="AH53" s="95"/>
      <c r="AI53" s="95"/>
      <c r="AJ53" s="95"/>
    </row>
    <row r="54" spans="2:36" x14ac:dyDescent="0.2">
      <c r="B54" t="s">
        <v>87</v>
      </c>
      <c r="I54" s="95">
        <v>-23066</v>
      </c>
      <c r="J54" s="95"/>
      <c r="K54" s="95"/>
      <c r="L54" s="95"/>
      <c r="M54" s="95"/>
      <c r="N54" s="95">
        <v>-11442</v>
      </c>
      <c r="O54" s="95"/>
      <c r="P54" s="95"/>
      <c r="Q54" s="95"/>
      <c r="R54" s="95"/>
      <c r="S54" s="95">
        <v>-26826</v>
      </c>
      <c r="T54" s="95"/>
      <c r="U54" s="95"/>
      <c r="V54" s="95"/>
      <c r="W54" s="95"/>
      <c r="X54" s="95">
        <v>-14660</v>
      </c>
      <c r="Y54" s="95"/>
      <c r="Z54" s="95"/>
      <c r="AA54" s="95"/>
      <c r="AB54" s="95"/>
      <c r="AC54" s="95">
        <v>-39211</v>
      </c>
      <c r="AD54" s="95"/>
      <c r="AE54" s="95"/>
      <c r="AF54" s="95"/>
      <c r="AG54" s="95"/>
      <c r="AH54" s="95"/>
      <c r="AI54" s="95"/>
      <c r="AJ54" s="95"/>
    </row>
    <row r="55" spans="2:36" x14ac:dyDescent="0.2">
      <c r="B55" t="s">
        <v>86</v>
      </c>
      <c r="I55" s="95">
        <v>163952</v>
      </c>
      <c r="J55" s="95"/>
      <c r="K55" s="95"/>
      <c r="L55" s="95"/>
      <c r="M55" s="95"/>
      <c r="N55" s="95">
        <v>184538</v>
      </c>
      <c r="O55" s="95"/>
      <c r="P55" s="95"/>
      <c r="Q55" s="95"/>
      <c r="R55" s="95"/>
      <c r="S55" s="95">
        <v>223837</v>
      </c>
      <c r="T55" s="95"/>
      <c r="U55" s="95"/>
      <c r="V55" s="95"/>
      <c r="W55" s="95"/>
      <c r="X55" s="95">
        <v>234273</v>
      </c>
      <c r="Y55" s="95"/>
      <c r="Z55" s="95"/>
      <c r="AA55" s="95"/>
      <c r="AB55" s="95"/>
      <c r="AC55" s="95">
        <v>254241</v>
      </c>
      <c r="AD55" s="95"/>
      <c r="AE55" s="95"/>
      <c r="AF55" s="95"/>
      <c r="AG55" s="95"/>
      <c r="AH55" s="95"/>
      <c r="AI55" s="95"/>
      <c r="AJ55" s="95"/>
    </row>
    <row r="56" spans="2:36" x14ac:dyDescent="0.2">
      <c r="B56" t="s">
        <v>85</v>
      </c>
      <c r="I56" s="95">
        <v>2818</v>
      </c>
      <c r="J56" s="95"/>
      <c r="K56" s="95"/>
      <c r="L56" s="95"/>
      <c r="M56" s="95"/>
      <c r="N56" s="95">
        <v>-26577</v>
      </c>
      <c r="O56" s="95"/>
      <c r="P56" s="95"/>
      <c r="Q56" s="95"/>
      <c r="R56" s="95"/>
      <c r="S56" s="95">
        <v>3993</v>
      </c>
      <c r="T56" s="95"/>
      <c r="U56" s="95"/>
      <c r="V56" s="95"/>
      <c r="W56" s="95"/>
      <c r="X56" s="95">
        <v>-346</v>
      </c>
      <c r="Y56" s="95"/>
      <c r="Z56" s="95"/>
      <c r="AA56" s="95"/>
      <c r="AB56" s="95"/>
      <c r="AC56" s="95">
        <v>4204</v>
      </c>
      <c r="AD56" s="95"/>
      <c r="AE56" s="95"/>
      <c r="AF56" s="95"/>
      <c r="AG56" s="95"/>
      <c r="AH56" s="95"/>
      <c r="AI56" s="95"/>
      <c r="AJ56" s="95"/>
    </row>
    <row r="57" spans="2:36" x14ac:dyDescent="0.2">
      <c r="B57" t="s">
        <v>84</v>
      </c>
      <c r="I57" s="95">
        <v>-973</v>
      </c>
      <c r="J57" s="95"/>
      <c r="K57" s="95"/>
      <c r="L57" s="95"/>
      <c r="M57" s="95"/>
      <c r="N57" s="95">
        <v>-3859</v>
      </c>
      <c r="O57" s="95"/>
      <c r="P57" s="95"/>
      <c r="Q57" s="95"/>
      <c r="R57" s="95"/>
      <c r="S57" s="95">
        <v>21440</v>
      </c>
      <c r="T57" s="95"/>
      <c r="U57" s="95"/>
      <c r="V57" s="95"/>
      <c r="W57" s="95"/>
      <c r="X57" s="95">
        <v>18208</v>
      </c>
      <c r="Y57" s="95"/>
      <c r="Z57" s="95"/>
      <c r="AA57" s="95"/>
      <c r="AB57" s="95"/>
      <c r="AC57" s="95">
        <v>5313</v>
      </c>
      <c r="AD57" s="95"/>
      <c r="AE57" s="95"/>
      <c r="AF57" s="95"/>
      <c r="AG57" s="95"/>
      <c r="AH57" s="95"/>
      <c r="AI57" s="95"/>
      <c r="AJ57" s="95"/>
    </row>
    <row r="58" spans="2:36" x14ac:dyDescent="0.2">
      <c r="B58" t="s">
        <v>83</v>
      </c>
      <c r="I58" s="95">
        <v>11759</v>
      </c>
      <c r="J58" s="95"/>
      <c r="K58" s="95"/>
      <c r="L58" s="95"/>
      <c r="M58" s="95"/>
      <c r="N58" s="95">
        <v>76683</v>
      </c>
      <c r="O58" s="95"/>
      <c r="P58" s="95"/>
      <c r="Q58" s="95"/>
      <c r="R58" s="95"/>
      <c r="S58" s="95">
        <v>-44555</v>
      </c>
      <c r="T58" s="95"/>
      <c r="U58" s="95"/>
      <c r="V58" s="95"/>
      <c r="W58" s="95"/>
      <c r="X58" s="95">
        <v>9864</v>
      </c>
      <c r="Y58" s="95"/>
      <c r="Z58" s="95"/>
      <c r="AA58" s="95"/>
      <c r="AB58" s="95"/>
      <c r="AC58" s="95">
        <v>57048</v>
      </c>
      <c r="AD58" s="95"/>
      <c r="AE58" s="95"/>
      <c r="AF58" s="95"/>
      <c r="AG58" s="95"/>
      <c r="AH58" s="95"/>
      <c r="AI58" s="95"/>
      <c r="AJ58" s="95"/>
    </row>
    <row r="59" spans="2:36" x14ac:dyDescent="0.2">
      <c r="B59" t="s">
        <v>82</v>
      </c>
      <c r="I59" s="95">
        <v>36543</v>
      </c>
      <c r="J59" s="95"/>
      <c r="K59" s="95"/>
      <c r="L59" s="95"/>
      <c r="M59" s="95"/>
      <c r="N59" s="95">
        <v>5596</v>
      </c>
      <c r="O59" s="95"/>
      <c r="P59" s="95"/>
      <c r="Q59" s="95"/>
      <c r="R59" s="95"/>
      <c r="S59" s="95">
        <v>10997</v>
      </c>
      <c r="T59" s="95"/>
      <c r="U59" s="95"/>
      <c r="V59" s="95"/>
      <c r="W59" s="95"/>
      <c r="X59" s="95">
        <v>-27964</v>
      </c>
      <c r="Y59" s="95"/>
      <c r="Z59" s="95"/>
      <c r="AA59" s="95"/>
      <c r="AB59" s="95"/>
      <c r="AC59" s="95">
        <v>3188</v>
      </c>
      <c r="AD59" s="95"/>
      <c r="AE59" s="95"/>
      <c r="AF59" s="95"/>
      <c r="AG59" s="95"/>
      <c r="AH59" s="95"/>
      <c r="AI59" s="95"/>
      <c r="AJ59" s="95"/>
    </row>
    <row r="60" spans="2:36" x14ac:dyDescent="0.2">
      <c r="B60" t="s">
        <v>81</v>
      </c>
      <c r="I60" s="95">
        <v>30400</v>
      </c>
      <c r="J60" s="95"/>
      <c r="K60" s="95"/>
      <c r="L60" s="95"/>
      <c r="M60" s="95"/>
      <c r="N60" s="95">
        <v>36958</v>
      </c>
      <c r="O60" s="95"/>
      <c r="P60" s="95"/>
      <c r="Q60" s="95"/>
      <c r="R60" s="95"/>
      <c r="S60" s="95">
        <v>34387</v>
      </c>
      <c r="T60" s="95"/>
      <c r="U60" s="95"/>
      <c r="V60" s="95"/>
      <c r="W60" s="95"/>
      <c r="X60" s="95">
        <v>33374</v>
      </c>
      <c r="Y60" s="95"/>
      <c r="Z60" s="95"/>
      <c r="AA60" s="95"/>
      <c r="AB60" s="95"/>
      <c r="AC60" s="95">
        <v>35685</v>
      </c>
      <c r="AD60" s="95"/>
      <c r="AE60" s="95"/>
      <c r="AF60" s="95"/>
      <c r="AG60" s="95"/>
      <c r="AH60" s="95"/>
      <c r="AI60" s="95"/>
      <c r="AJ60" s="95"/>
    </row>
    <row r="61" spans="2:36" x14ac:dyDescent="0.2">
      <c r="B61" t="s">
        <v>80</v>
      </c>
      <c r="I61" s="95">
        <v>-32083</v>
      </c>
      <c r="J61" s="95"/>
      <c r="K61" s="95"/>
      <c r="L61" s="95"/>
      <c r="M61" s="95"/>
      <c r="N61" s="95">
        <v>-255251</v>
      </c>
      <c r="O61" s="95"/>
      <c r="P61" s="95"/>
      <c r="Q61" s="95"/>
      <c r="R61" s="95"/>
      <c r="S61" s="95">
        <v>193379</v>
      </c>
      <c r="T61" s="95"/>
      <c r="U61" s="95"/>
      <c r="V61" s="95"/>
      <c r="W61" s="95"/>
      <c r="X61" s="95">
        <v>46262</v>
      </c>
      <c r="Y61" s="95"/>
      <c r="Z61" s="95"/>
      <c r="AA61" s="95"/>
      <c r="AB61" s="95"/>
      <c r="AC61" s="95">
        <v>-5237</v>
      </c>
      <c r="AD61" s="95"/>
      <c r="AE61" s="95"/>
      <c r="AF61" s="95"/>
      <c r="AG61" s="95"/>
      <c r="AH61" s="95"/>
      <c r="AI61" s="95"/>
      <c r="AJ61" s="95"/>
    </row>
    <row r="62" spans="2:36" x14ac:dyDescent="0.2">
      <c r="B62" t="s">
        <v>79</v>
      </c>
      <c r="I62" s="95">
        <v>-151557</v>
      </c>
      <c r="J62" s="95"/>
      <c r="K62" s="95"/>
      <c r="L62" s="95"/>
      <c r="M62" s="95"/>
      <c r="N62" s="95">
        <v>-165154</v>
      </c>
      <c r="O62" s="95"/>
      <c r="P62" s="95"/>
      <c r="Q62" s="95"/>
      <c r="R62" s="95"/>
      <c r="S62" s="95">
        <v>-207164</v>
      </c>
      <c r="T62" s="95"/>
      <c r="U62" s="95"/>
      <c r="V62" s="95"/>
      <c r="W62" s="95"/>
      <c r="X62" s="95">
        <v>-207186</v>
      </c>
      <c r="Y62" s="95"/>
      <c r="Z62" s="95"/>
      <c r="AA62" s="95"/>
      <c r="AB62" s="95"/>
      <c r="AC62" s="95">
        <v>-214477</v>
      </c>
      <c r="AD62" s="95"/>
      <c r="AE62" s="95"/>
      <c r="AF62" s="95"/>
      <c r="AG62" s="95"/>
      <c r="AH62" s="95"/>
      <c r="AI62" s="95"/>
      <c r="AJ62" s="95"/>
    </row>
    <row r="63" spans="2:36" x14ac:dyDescent="0.2">
      <c r="B63" t="s">
        <v>78</v>
      </c>
      <c r="I63" s="95">
        <v>1862</v>
      </c>
      <c r="J63" s="95"/>
      <c r="K63" s="95"/>
      <c r="L63" s="95"/>
      <c r="M63" s="95"/>
      <c r="N63" s="95">
        <v>1782</v>
      </c>
      <c r="O63" s="95"/>
      <c r="P63" s="95"/>
      <c r="Q63" s="95"/>
      <c r="R63" s="95"/>
      <c r="S63" s="95">
        <v>-3984</v>
      </c>
      <c r="T63" s="95"/>
      <c r="U63" s="95"/>
      <c r="V63" s="95"/>
      <c r="W63" s="95"/>
      <c r="X63" s="95">
        <v>3853</v>
      </c>
      <c r="Y63" s="95"/>
      <c r="Z63" s="95"/>
      <c r="AA63" s="95"/>
      <c r="AB63" s="95"/>
      <c r="AC63" s="95">
        <v>9431</v>
      </c>
      <c r="AD63" s="95"/>
      <c r="AE63" s="95"/>
      <c r="AF63" s="95"/>
      <c r="AG63" s="95"/>
      <c r="AH63" s="95"/>
      <c r="AI63" s="95"/>
      <c r="AJ63" s="95"/>
    </row>
    <row r="64" spans="2:36" x14ac:dyDescent="0.2">
      <c r="B64" t="s">
        <v>77</v>
      </c>
      <c r="I64" s="95">
        <v>721632</v>
      </c>
      <c r="J64" s="95"/>
      <c r="K64" s="95"/>
      <c r="L64" s="95"/>
      <c r="M64" s="95"/>
      <c r="N64" s="95">
        <v>663847</v>
      </c>
      <c r="O64" s="95"/>
      <c r="P64" s="95"/>
      <c r="Q64" s="95"/>
      <c r="R64" s="95"/>
      <c r="S64" s="95">
        <v>1282081</v>
      </c>
      <c r="T64" s="95"/>
      <c r="U64" s="95"/>
      <c r="V64" s="95"/>
      <c r="W64" s="95"/>
      <c r="X64" s="95">
        <v>1323179</v>
      </c>
      <c r="Y64" s="95"/>
      <c r="Z64" s="95"/>
      <c r="AA64" s="95"/>
      <c r="AB64" s="95"/>
      <c r="AC64" s="95">
        <v>1783477</v>
      </c>
      <c r="AD64" s="95"/>
      <c r="AE64" s="95"/>
      <c r="AF64" s="95"/>
      <c r="AG64" s="95"/>
      <c r="AH64" s="95"/>
      <c r="AI64" s="95"/>
      <c r="AJ64" s="95"/>
    </row>
    <row r="65" spans="2:36" x14ac:dyDescent="0.2">
      <c r="I65" s="95"/>
      <c r="J65" s="95"/>
      <c r="K65" s="95"/>
      <c r="L65" s="95"/>
      <c r="M65" s="95"/>
      <c r="N65" s="95"/>
      <c r="O65" s="95"/>
      <c r="P65" s="95"/>
      <c r="Q65" s="95"/>
      <c r="R65" s="95"/>
      <c r="S65" s="95"/>
      <c r="T65" s="95"/>
      <c r="U65" s="95"/>
      <c r="V65" s="95"/>
      <c r="W65" s="95"/>
      <c r="X65" s="95"/>
      <c r="Y65" s="95"/>
      <c r="Z65" s="95"/>
      <c r="AA65" s="95"/>
      <c r="AB65" s="95"/>
      <c r="AC65" s="95"/>
      <c r="AD65" s="95"/>
      <c r="AE65" s="95"/>
      <c r="AF65" s="95"/>
      <c r="AG65" s="95"/>
      <c r="AH65" s="95"/>
      <c r="AI65" s="95"/>
      <c r="AJ65" s="95"/>
    </row>
    <row r="66" spans="2:36" x14ac:dyDescent="0.2">
      <c r="B66" s="11" t="s">
        <v>76</v>
      </c>
      <c r="I66" s="95"/>
      <c r="J66" s="95"/>
      <c r="K66" s="95"/>
      <c r="L66" s="95"/>
      <c r="M66" s="95"/>
      <c r="N66" s="95"/>
      <c r="O66" s="95"/>
      <c r="P66" s="95"/>
      <c r="Q66" s="95"/>
      <c r="R66" s="95"/>
      <c r="S66" s="95"/>
      <c r="T66" s="95"/>
      <c r="U66" s="95"/>
      <c r="V66" s="95"/>
      <c r="W66" s="95"/>
      <c r="X66" s="95"/>
      <c r="Y66" s="95"/>
      <c r="Z66" s="95"/>
      <c r="AA66" s="95"/>
      <c r="AB66" s="95"/>
      <c r="AC66" s="95"/>
      <c r="AD66" s="95"/>
      <c r="AE66" s="95"/>
      <c r="AF66" s="95"/>
      <c r="AG66" s="95"/>
      <c r="AH66" s="95"/>
      <c r="AI66" s="95"/>
      <c r="AJ66" s="95"/>
    </row>
    <row r="67" spans="2:36" x14ac:dyDescent="0.2">
      <c r="B67" t="s">
        <v>75</v>
      </c>
      <c r="I67" s="95">
        <v>-333912</v>
      </c>
      <c r="J67" s="95"/>
      <c r="K67" s="95"/>
      <c r="L67" s="95"/>
      <c r="M67" s="95"/>
      <c r="N67" s="95">
        <v>-373352</v>
      </c>
      <c r="O67" s="95"/>
      <c r="P67" s="95"/>
      <c r="Q67" s="95"/>
      <c r="R67" s="95"/>
      <c r="S67" s="95">
        <v>-442475</v>
      </c>
      <c r="T67" s="95"/>
      <c r="U67" s="95"/>
      <c r="V67" s="95"/>
      <c r="W67" s="95"/>
      <c r="X67" s="95">
        <v>-479164</v>
      </c>
      <c r="Y67" s="95"/>
      <c r="Z67" s="95"/>
      <c r="AA67" s="95"/>
      <c r="AB67" s="95"/>
      <c r="AC67" s="95">
        <v>-560731</v>
      </c>
      <c r="AD67" s="95"/>
      <c r="AE67" s="95"/>
      <c r="AF67" s="95"/>
      <c r="AG67" s="95"/>
      <c r="AH67" s="95"/>
      <c r="AI67" s="95"/>
      <c r="AJ67" s="95"/>
    </row>
    <row r="68" spans="2:36" x14ac:dyDescent="0.2">
      <c r="B68" t="s">
        <v>74</v>
      </c>
      <c r="I68" s="95">
        <v>-448754</v>
      </c>
      <c r="J68" s="95"/>
      <c r="K68" s="95"/>
      <c r="L68" s="95"/>
      <c r="M68" s="95"/>
      <c r="N68" s="95">
        <v>-468418</v>
      </c>
      <c r="O68" s="95"/>
      <c r="P68" s="95"/>
      <c r="Q68" s="95"/>
      <c r="R68" s="95"/>
      <c r="S68" s="95">
        <v>-429350</v>
      </c>
      <c r="T68" s="95"/>
      <c r="U68" s="95"/>
      <c r="V68" s="95"/>
      <c r="W68" s="95"/>
      <c r="X68" s="95">
        <v>-614416</v>
      </c>
      <c r="Y68" s="95"/>
      <c r="Z68" s="95"/>
      <c r="AA68" s="95"/>
      <c r="AB68" s="95"/>
      <c r="AC68" s="95">
        <v>-1115131</v>
      </c>
      <c r="AD68" s="95"/>
      <c r="AE68" s="95"/>
      <c r="AF68" s="95"/>
      <c r="AG68" s="95"/>
      <c r="AH68" s="95"/>
      <c r="AI68" s="95"/>
      <c r="AJ68" s="95"/>
    </row>
    <row r="69" spans="2:36" x14ac:dyDescent="0.2">
      <c r="B69" t="s">
        <v>73</v>
      </c>
      <c r="I69" s="95">
        <v>476723</v>
      </c>
      <c r="J69" s="95"/>
      <c r="K69" s="95"/>
      <c r="L69" s="95"/>
      <c r="M69" s="95"/>
      <c r="N69" s="95">
        <v>419078</v>
      </c>
      <c r="O69" s="95"/>
      <c r="P69" s="95"/>
      <c r="Q69" s="95"/>
      <c r="R69" s="95"/>
      <c r="S69" s="95">
        <v>345748</v>
      </c>
      <c r="T69" s="95"/>
      <c r="U69" s="95"/>
      <c r="V69" s="95"/>
      <c r="W69" s="95"/>
      <c r="X69" s="95">
        <v>263548</v>
      </c>
      <c r="Y69" s="95"/>
      <c r="Z69" s="95"/>
      <c r="AA69" s="95"/>
      <c r="AB69" s="95"/>
      <c r="AC69" s="95">
        <v>729853</v>
      </c>
      <c r="AD69" s="95"/>
      <c r="AE69" s="95"/>
      <c r="AF69" s="95"/>
      <c r="AG69" s="95"/>
      <c r="AH69" s="95"/>
      <c r="AI69" s="95"/>
      <c r="AJ69" s="95"/>
    </row>
    <row r="70" spans="2:36" x14ac:dyDescent="0.2">
      <c r="B70" t="s">
        <v>72</v>
      </c>
      <c r="I70" s="95">
        <v>13969</v>
      </c>
      <c r="J70" s="95"/>
      <c r="K70" s="95"/>
      <c r="L70" s="95"/>
      <c r="M70" s="95"/>
      <c r="N70" s="95" t="s">
        <v>71</v>
      </c>
      <c r="O70" s="95"/>
      <c r="P70" s="95"/>
      <c r="Q70" s="95"/>
      <c r="R70" s="95"/>
      <c r="S70" s="95">
        <v>4035</v>
      </c>
      <c r="T70" s="95"/>
      <c r="U70" s="95"/>
      <c r="V70" s="95"/>
      <c r="W70" s="95"/>
      <c r="X70" s="95" t="s">
        <v>71</v>
      </c>
      <c r="Y70" s="95"/>
      <c r="Z70" s="95"/>
      <c r="AA70" s="95"/>
      <c r="AB70" s="95"/>
      <c r="AC70" s="95" t="s">
        <v>71</v>
      </c>
      <c r="AD70" s="95"/>
      <c r="AE70" s="95"/>
      <c r="AF70" s="95"/>
      <c r="AG70" s="95"/>
      <c r="AH70" s="95"/>
      <c r="AI70" s="95"/>
      <c r="AJ70" s="95"/>
    </row>
    <row r="71" spans="2:36" x14ac:dyDescent="0.2">
      <c r="B71" t="s">
        <v>106</v>
      </c>
      <c r="I71" s="95" t="s">
        <v>71</v>
      </c>
      <c r="J71" s="95"/>
      <c r="K71" s="95"/>
      <c r="L71" s="95"/>
      <c r="M71" s="95"/>
      <c r="N71" s="95">
        <v>-10025</v>
      </c>
      <c r="O71" s="95"/>
      <c r="P71" s="95"/>
      <c r="Q71" s="95"/>
      <c r="R71" s="95"/>
      <c r="S71" s="95"/>
      <c r="T71" s="95"/>
      <c r="U71" s="95"/>
      <c r="V71" s="95"/>
      <c r="W71" s="95"/>
      <c r="X71" s="95"/>
      <c r="Y71" s="95"/>
      <c r="Z71" s="95"/>
      <c r="AA71" s="95"/>
      <c r="AB71" s="95"/>
      <c r="AC71" s="95"/>
      <c r="AD71" s="95"/>
      <c r="AE71" s="95"/>
      <c r="AF71" s="95"/>
      <c r="AG71" s="95"/>
      <c r="AH71" s="95"/>
      <c r="AI71" s="95"/>
      <c r="AJ71" s="95"/>
    </row>
    <row r="72" spans="2:36" x14ac:dyDescent="0.2">
      <c r="B72" t="s">
        <v>70</v>
      </c>
      <c r="I72" s="95">
        <v>-291974</v>
      </c>
      <c r="J72" s="95"/>
      <c r="K72" s="95"/>
      <c r="L72" s="95"/>
      <c r="M72" s="95"/>
      <c r="N72" s="95">
        <v>-432717</v>
      </c>
      <c r="O72" s="95"/>
      <c r="P72" s="95"/>
      <c r="Q72" s="95"/>
      <c r="R72" s="95"/>
      <c r="S72" s="95">
        <v>-522042</v>
      </c>
      <c r="T72" s="95"/>
      <c r="U72" s="95"/>
      <c r="V72" s="95"/>
      <c r="W72" s="95"/>
      <c r="X72" s="95">
        <v>-830032</v>
      </c>
      <c r="Y72" s="95"/>
      <c r="Z72" s="95"/>
      <c r="AA72" s="95"/>
      <c r="AB72" s="95"/>
      <c r="AC72" s="95">
        <v>-946009</v>
      </c>
      <c r="AD72" s="95"/>
      <c r="AE72" s="95"/>
      <c r="AF72" s="95"/>
      <c r="AG72" s="95"/>
      <c r="AH72" s="95"/>
      <c r="AI72" s="95"/>
      <c r="AJ72" s="95"/>
    </row>
    <row r="73" spans="2:36" x14ac:dyDescent="0.2">
      <c r="I73" s="95"/>
      <c r="J73" s="95"/>
      <c r="K73" s="95"/>
      <c r="L73" s="95"/>
      <c r="M73" s="95"/>
      <c r="N73" s="95"/>
      <c r="O73" s="95"/>
      <c r="P73" s="95"/>
      <c r="Q73" s="95"/>
      <c r="R73" s="95"/>
      <c r="S73" s="95"/>
      <c r="T73" s="95"/>
      <c r="U73" s="95"/>
      <c r="V73" s="95"/>
      <c r="W73" s="95"/>
      <c r="X73" s="95"/>
      <c r="Y73" s="95"/>
      <c r="Z73" s="95"/>
      <c r="AA73" s="95"/>
      <c r="AB73" s="95"/>
      <c r="AC73" s="95"/>
      <c r="AD73" s="95"/>
      <c r="AE73" s="95"/>
      <c r="AF73" s="95"/>
      <c r="AG73" s="95"/>
      <c r="AH73" s="95"/>
      <c r="AI73" s="95"/>
      <c r="AJ73" s="95"/>
    </row>
    <row r="74" spans="2:36" x14ac:dyDescent="0.2">
      <c r="B74" s="11" t="s">
        <v>69</v>
      </c>
      <c r="I74" s="95"/>
      <c r="J74" s="95"/>
      <c r="K74" s="95"/>
      <c r="L74" s="95"/>
      <c r="M74" s="95"/>
      <c r="N74" s="95"/>
      <c r="O74" s="95"/>
      <c r="P74" s="95"/>
      <c r="Q74" s="95"/>
      <c r="R74" s="95"/>
      <c r="S74" s="95"/>
      <c r="T74" s="95"/>
      <c r="U74" s="95"/>
      <c r="V74" s="95"/>
      <c r="W74" s="95"/>
      <c r="X74" s="95"/>
      <c r="Y74" s="95"/>
      <c r="Z74" s="95"/>
      <c r="AA74" s="95"/>
      <c r="AB74" s="95"/>
      <c r="AC74" s="95"/>
      <c r="AD74" s="95"/>
      <c r="AE74" s="95"/>
      <c r="AF74" s="95"/>
      <c r="AG74" s="95"/>
      <c r="AH74" s="95"/>
      <c r="AI74" s="95"/>
      <c r="AJ74" s="95"/>
    </row>
    <row r="75" spans="2:36" x14ac:dyDescent="0.2">
      <c r="B75" t="s">
        <v>68</v>
      </c>
      <c r="I75" s="95">
        <v>-190617</v>
      </c>
      <c r="J75" s="95"/>
      <c r="K75" s="95"/>
      <c r="L75" s="95"/>
      <c r="M75" s="95"/>
      <c r="N75" s="95">
        <v>-54401</v>
      </c>
      <c r="O75" s="95"/>
      <c r="P75" s="95"/>
      <c r="Q75" s="95"/>
      <c r="R75" s="95"/>
      <c r="S75" s="95">
        <v>-466462</v>
      </c>
      <c r="T75" s="95"/>
      <c r="U75" s="95"/>
      <c r="V75" s="95"/>
      <c r="W75" s="95"/>
      <c r="X75" s="95">
        <v>-830140</v>
      </c>
      <c r="Y75" s="95"/>
      <c r="Z75" s="95"/>
      <c r="AA75" s="95"/>
      <c r="AB75" s="95"/>
      <c r="AC75" s="95">
        <v>-592349</v>
      </c>
      <c r="AD75" s="95"/>
      <c r="AE75" s="95"/>
      <c r="AF75" s="95"/>
      <c r="AG75" s="95"/>
      <c r="AH75" s="95"/>
      <c r="AI75" s="95"/>
      <c r="AJ75" s="95"/>
    </row>
    <row r="76" spans="2:36" x14ac:dyDescent="0.2">
      <c r="B76" t="s">
        <v>67</v>
      </c>
      <c r="I76" s="95">
        <v>-10420</v>
      </c>
      <c r="J76" s="95"/>
      <c r="K76" s="95"/>
      <c r="L76" s="95"/>
      <c r="M76" s="95"/>
      <c r="N76" s="95">
        <v>-48555</v>
      </c>
      <c r="O76" s="95"/>
      <c r="P76" s="95"/>
      <c r="Q76" s="95"/>
      <c r="R76" s="95"/>
      <c r="S76" s="95">
        <v>-79870</v>
      </c>
      <c r="T76" s="95"/>
      <c r="U76" s="95"/>
      <c r="V76" s="95"/>
      <c r="W76" s="95"/>
      <c r="X76" s="95">
        <v>-98970</v>
      </c>
      <c r="Y76" s="95"/>
      <c r="Z76" s="95"/>
      <c r="AA76" s="95"/>
      <c r="AB76" s="95"/>
      <c r="AC76" s="95">
        <v>-69146</v>
      </c>
      <c r="AD76" s="95"/>
      <c r="AE76" s="95"/>
      <c r="AF76" s="95"/>
      <c r="AG76" s="95"/>
      <c r="AH76" s="95"/>
      <c r="AI76" s="95"/>
      <c r="AJ76" s="95"/>
    </row>
    <row r="77" spans="2:36" x14ac:dyDescent="0.2">
      <c r="B77" t="s">
        <v>66</v>
      </c>
      <c r="I77" s="95">
        <v>-698</v>
      </c>
      <c r="J77" s="95"/>
      <c r="K77" s="95"/>
      <c r="L77" s="95"/>
      <c r="M77" s="95"/>
      <c r="N77" s="95">
        <v>-1895</v>
      </c>
      <c r="O77" s="95"/>
      <c r="P77" s="95"/>
      <c r="Q77" s="95"/>
      <c r="R77" s="95"/>
      <c r="S77" s="95">
        <v>-2274</v>
      </c>
      <c r="T77" s="95"/>
      <c r="U77" s="95"/>
      <c r="V77" s="95"/>
      <c r="W77" s="95"/>
      <c r="X77" s="95">
        <v>-294</v>
      </c>
      <c r="Y77" s="95"/>
      <c r="Z77" s="95"/>
      <c r="AA77" s="95"/>
      <c r="AB77" s="95"/>
      <c r="AC77" s="95">
        <v>843</v>
      </c>
      <c r="AD77" s="95"/>
      <c r="AE77" s="95"/>
      <c r="AF77" s="95"/>
      <c r="AG77" s="95"/>
      <c r="AH77" s="95"/>
      <c r="AI77" s="95"/>
      <c r="AJ77" s="95"/>
    </row>
    <row r="78" spans="2:36" x14ac:dyDescent="0.2">
      <c r="B78" t="s">
        <v>65</v>
      </c>
      <c r="I78" s="95">
        <v>-201735</v>
      </c>
      <c r="J78" s="95"/>
      <c r="K78" s="95"/>
      <c r="L78" s="95"/>
      <c r="M78" s="95"/>
      <c r="N78" s="95">
        <v>-104851</v>
      </c>
      <c r="O78" s="95"/>
      <c r="P78" s="95"/>
      <c r="Q78" s="95"/>
      <c r="R78" s="95"/>
      <c r="S78" s="95">
        <v>-548606</v>
      </c>
      <c r="T78" s="95"/>
      <c r="U78" s="95"/>
      <c r="V78" s="95"/>
      <c r="W78" s="95"/>
      <c r="X78" s="95">
        <v>-929404</v>
      </c>
      <c r="Y78" s="95"/>
      <c r="Z78" s="95"/>
      <c r="AA78" s="95"/>
      <c r="AB78" s="95"/>
      <c r="AC78" s="95">
        <v>-660652</v>
      </c>
      <c r="AD78" s="95"/>
      <c r="AE78" s="95"/>
      <c r="AF78" s="95"/>
      <c r="AG78" s="95"/>
      <c r="AH78" s="95"/>
      <c r="AI78" s="95"/>
      <c r="AJ78" s="95"/>
    </row>
    <row r="79" spans="2:36" x14ac:dyDescent="0.2">
      <c r="B79" t="s">
        <v>64</v>
      </c>
      <c r="I79" s="95">
        <v>406</v>
      </c>
      <c r="J79" s="95"/>
      <c r="K79" s="95"/>
      <c r="L79" s="95"/>
      <c r="M79" s="95"/>
      <c r="N79" s="95">
        <v>1076</v>
      </c>
      <c r="O79" s="95"/>
      <c r="P79" s="95"/>
      <c r="Q79" s="95"/>
      <c r="R79" s="95"/>
      <c r="S79" s="95">
        <v>-1039</v>
      </c>
      <c r="T79" s="95"/>
      <c r="U79" s="95"/>
      <c r="V79" s="95"/>
      <c r="W79" s="95"/>
      <c r="X79" s="95">
        <v>-1007</v>
      </c>
      <c r="Y79" s="95"/>
      <c r="Z79" s="95"/>
      <c r="AA79" s="95"/>
      <c r="AB79" s="95"/>
      <c r="AC79" s="95">
        <v>381</v>
      </c>
      <c r="AD79" s="95"/>
      <c r="AE79" s="95"/>
      <c r="AF79" s="95"/>
      <c r="AG79" s="95"/>
      <c r="AH79" s="95"/>
      <c r="AI79" s="95"/>
      <c r="AJ79" s="95"/>
    </row>
    <row r="80" spans="2:36" x14ac:dyDescent="0.2">
      <c r="B80" t="s">
        <v>63</v>
      </c>
      <c r="I80" s="95">
        <v>228329</v>
      </c>
      <c r="J80" s="95"/>
      <c r="K80" s="95"/>
      <c r="L80" s="95"/>
      <c r="M80" s="95"/>
      <c r="N80" s="95">
        <v>127355</v>
      </c>
      <c r="O80" s="95"/>
      <c r="P80" s="95"/>
      <c r="Q80" s="95"/>
      <c r="R80" s="95"/>
      <c r="S80" s="95">
        <v>210394</v>
      </c>
      <c r="T80" s="95"/>
      <c r="U80" s="95"/>
      <c r="V80" s="95"/>
      <c r="W80" s="95"/>
      <c r="X80" s="95">
        <v>-437264</v>
      </c>
      <c r="Y80" s="95"/>
      <c r="Z80" s="95"/>
      <c r="AA80" s="95"/>
      <c r="AB80" s="95"/>
      <c r="AC80" s="95">
        <v>177197</v>
      </c>
      <c r="AD80" s="95"/>
      <c r="AE80" s="95"/>
      <c r="AF80" s="95"/>
      <c r="AG80" s="95"/>
      <c r="AH80" s="95"/>
      <c r="AI80" s="95"/>
      <c r="AJ80" s="95"/>
    </row>
    <row r="81" spans="2:36" x14ac:dyDescent="0.2">
      <c r="B81" t="s">
        <v>62</v>
      </c>
      <c r="I81" s="95">
        <v>280152</v>
      </c>
      <c r="J81" s="95"/>
      <c r="K81" s="95"/>
      <c r="L81" s="95"/>
      <c r="M81" s="95"/>
      <c r="N81" s="95">
        <v>508481</v>
      </c>
      <c r="O81" s="95"/>
      <c r="P81" s="95"/>
      <c r="Q81" s="95"/>
      <c r="R81" s="95"/>
      <c r="S81" s="95">
        <v>635836</v>
      </c>
      <c r="T81" s="95"/>
      <c r="U81" s="95"/>
      <c r="V81" s="95"/>
      <c r="W81" s="95"/>
      <c r="X81" s="95">
        <v>846230</v>
      </c>
      <c r="Y81" s="95"/>
      <c r="Z81" s="95"/>
      <c r="AA81" s="95"/>
      <c r="AB81" s="95"/>
      <c r="AC81" s="95">
        <v>408966</v>
      </c>
      <c r="AD81" s="95"/>
      <c r="AE81" s="95"/>
      <c r="AF81" s="95"/>
      <c r="AG81" s="95"/>
      <c r="AH81" s="95"/>
      <c r="AI81" s="95"/>
      <c r="AJ81" s="95"/>
    </row>
    <row r="82" spans="2:36" x14ac:dyDescent="0.2">
      <c r="B82" t="s">
        <v>61</v>
      </c>
      <c r="I82" s="95">
        <v>508481</v>
      </c>
      <c r="J82" s="95"/>
      <c r="K82" s="95"/>
      <c r="L82" s="95"/>
      <c r="M82" s="95"/>
      <c r="N82" s="95">
        <v>635836</v>
      </c>
      <c r="O82" s="95"/>
      <c r="P82" s="95"/>
      <c r="Q82" s="95"/>
      <c r="R82" s="95"/>
      <c r="S82" s="95">
        <v>846230</v>
      </c>
      <c r="T82" s="95"/>
      <c r="U82" s="95"/>
      <c r="V82" s="95"/>
      <c r="W82" s="95"/>
      <c r="X82" s="95">
        <v>408966</v>
      </c>
      <c r="Y82" s="95"/>
      <c r="Z82" s="95"/>
      <c r="AA82" s="95"/>
      <c r="AB82" s="95"/>
      <c r="AC82" s="95">
        <v>586163</v>
      </c>
      <c r="AD82" s="95"/>
      <c r="AE82" s="95"/>
      <c r="AF82" s="95"/>
      <c r="AG82" s="95"/>
      <c r="AH82" s="95"/>
      <c r="AI82" s="95"/>
      <c r="AJ82" s="95"/>
    </row>
    <row r="83" spans="2:36" x14ac:dyDescent="0.2">
      <c r="I83" s="95"/>
      <c r="J83" s="95"/>
      <c r="K83" s="95"/>
      <c r="L83" s="95"/>
      <c r="M83" s="95"/>
      <c r="N83" s="95"/>
      <c r="O83" s="95"/>
      <c r="P83" s="95"/>
      <c r="Q83" s="95"/>
      <c r="R83" s="95"/>
      <c r="S83" s="95"/>
      <c r="T83" s="95"/>
      <c r="U83" s="95"/>
      <c r="V83" s="95"/>
      <c r="W83" s="95"/>
      <c r="X83" s="95"/>
      <c r="Y83" s="95"/>
      <c r="Z83" s="95"/>
      <c r="AA83" s="95"/>
      <c r="AB83" s="95"/>
      <c r="AC83" s="95"/>
      <c r="AD83" s="95"/>
      <c r="AE83" s="95"/>
      <c r="AF83" s="95"/>
      <c r="AG83" s="95"/>
      <c r="AH83" s="95"/>
      <c r="AI83" s="95"/>
      <c r="AJ83" s="95"/>
    </row>
    <row r="84" spans="2:36" x14ac:dyDescent="0.2">
      <c r="B84" s="11" t="s">
        <v>60</v>
      </c>
      <c r="I84" s="95"/>
      <c r="J84" s="95"/>
      <c r="K84" s="95"/>
      <c r="L84" s="95"/>
      <c r="M84" s="95"/>
      <c r="N84" s="95"/>
      <c r="O84" s="95"/>
      <c r="P84" s="95"/>
      <c r="Q84" s="95"/>
      <c r="R84" s="95"/>
      <c r="S84" s="95"/>
      <c r="T84" s="95"/>
      <c r="U84" s="95"/>
      <c r="V84" s="95"/>
      <c r="W84" s="95"/>
      <c r="X84" s="95"/>
      <c r="Y84" s="95"/>
      <c r="Z84" s="95"/>
      <c r="AA84" s="95"/>
      <c r="AB84" s="95"/>
      <c r="AC84" s="95"/>
      <c r="AD84" s="95"/>
      <c r="AE84" s="95"/>
      <c r="AF84" s="95"/>
      <c r="AG84" s="95"/>
      <c r="AH84" s="95"/>
      <c r="AI84" s="95"/>
      <c r="AJ84" s="95"/>
    </row>
    <row r="85" spans="2:36" x14ac:dyDescent="0.2">
      <c r="B85" t="s">
        <v>59</v>
      </c>
      <c r="I85" s="95">
        <v>109571</v>
      </c>
      <c r="J85" s="95"/>
      <c r="K85" s="95"/>
      <c r="L85" s="95"/>
      <c r="M85" s="95"/>
      <c r="N85" s="95">
        <v>85010</v>
      </c>
      <c r="O85" s="95"/>
      <c r="P85" s="95"/>
      <c r="Q85" s="95"/>
      <c r="R85" s="95"/>
      <c r="S85" s="95">
        <v>-17831</v>
      </c>
      <c r="T85" s="95"/>
      <c r="U85" s="95"/>
      <c r="V85" s="95"/>
      <c r="W85" s="95"/>
      <c r="X85" s="95">
        <v>275796</v>
      </c>
      <c r="Y85" s="95"/>
      <c r="Z85" s="95"/>
      <c r="AA85" s="95"/>
      <c r="AB85" s="95"/>
      <c r="AC85" s="95">
        <v>400229</v>
      </c>
      <c r="AD85" s="95"/>
      <c r="AE85" s="95"/>
      <c r="AF85" s="95"/>
      <c r="AG85" s="95"/>
      <c r="AH85" s="95"/>
      <c r="AI85" s="95"/>
      <c r="AJ85" s="95"/>
    </row>
    <row r="86" spans="2:36" x14ac:dyDescent="0.2">
      <c r="B86" t="s">
        <v>58</v>
      </c>
      <c r="I86" s="95">
        <v>36886</v>
      </c>
      <c r="J86" s="95"/>
      <c r="K86" s="95"/>
      <c r="L86" s="95"/>
      <c r="M86" s="95"/>
      <c r="N86" s="95">
        <v>46975</v>
      </c>
      <c r="O86" s="95"/>
      <c r="P86" s="95"/>
      <c r="Q86" s="95"/>
      <c r="R86" s="95"/>
      <c r="S86" s="95">
        <v>63802</v>
      </c>
      <c r="T86" s="95"/>
      <c r="U86" s="95"/>
      <c r="V86" s="95"/>
      <c r="W86" s="95"/>
      <c r="X86" s="95">
        <v>72021</v>
      </c>
      <c r="Y86" s="95"/>
      <c r="Z86" s="95"/>
      <c r="AA86" s="95"/>
      <c r="AB86" s="95"/>
      <c r="AC86" s="95">
        <v>76415</v>
      </c>
      <c r="AD86" s="95"/>
      <c r="AE86" s="95"/>
      <c r="AF86" s="95"/>
      <c r="AG86" s="95"/>
      <c r="AH86" s="95"/>
      <c r="AI86" s="95"/>
      <c r="AJ86" s="95"/>
    </row>
    <row r="87" spans="2:36" x14ac:dyDescent="0.2">
      <c r="B87" t="s">
        <v>57</v>
      </c>
      <c r="I87" s="95" t="s">
        <v>105</v>
      </c>
      <c r="J87" s="95"/>
      <c r="K87" s="95"/>
      <c r="L87" s="95"/>
      <c r="M87" s="95"/>
      <c r="N87" s="95" t="s">
        <v>105</v>
      </c>
      <c r="O87" s="95"/>
      <c r="P87" s="95"/>
      <c r="Q87" s="95"/>
      <c r="R87" s="95"/>
      <c r="S87" s="95">
        <v>7695</v>
      </c>
      <c r="T87" s="95"/>
      <c r="U87" s="95"/>
      <c r="V87" s="95"/>
      <c r="W87" s="95"/>
      <c r="X87" s="95">
        <v>4497</v>
      </c>
      <c r="Y87" s="95"/>
      <c r="Z87" s="95"/>
      <c r="AA87" s="95"/>
      <c r="AB87" s="95"/>
      <c r="AC87" s="95">
        <v>5643</v>
      </c>
      <c r="AD87" s="95"/>
      <c r="AE87" s="95"/>
      <c r="AF87" s="95"/>
      <c r="AG87" s="95"/>
      <c r="AH87" s="95"/>
      <c r="AI87" s="95"/>
      <c r="AJ87" s="9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E8F12-A910-4751-AD4B-8077EE99CB7B}">
  <sheetPr>
    <tabColor theme="9" tint="-0.249977111117893"/>
  </sheetPr>
  <dimension ref="A1:AQ147"/>
  <sheetViews>
    <sheetView zoomScaleNormal="83" workbookViewId="0">
      <pane xSplit="3" ySplit="4" topLeftCell="I5" activePane="bottomRight" state="frozen"/>
      <selection pane="topRight" activeCell="N1" sqref="N1"/>
      <selection pane="bottomLeft" activeCell="A5" sqref="A5"/>
      <selection pane="bottomRight" activeCell="AC16" sqref="AC16"/>
    </sheetView>
  </sheetViews>
  <sheetFormatPr baseColWidth="10" defaultColWidth="8.83203125" defaultRowHeight="15" outlineLevelCol="1" x14ac:dyDescent="0.2"/>
  <cols>
    <col min="1" max="1" width="0.5" customWidth="1"/>
    <col min="2" max="2" width="105.5" bestFit="1" customWidth="1"/>
    <col min="3" max="3" width="1.1640625" customWidth="1"/>
    <col min="4" max="4" width="1.6640625" hidden="1" customWidth="1" outlineLevel="1"/>
    <col min="5" max="6" width="11.5" hidden="1" customWidth="1" outlineLevel="1"/>
    <col min="7" max="7" width="12.5" hidden="1" customWidth="1" outlineLevel="1"/>
    <col min="8" max="8" width="12.33203125" hidden="1" customWidth="1" outlineLevel="1"/>
    <col min="9" max="9" width="12.5" style="161" customWidth="1" collapsed="1"/>
    <col min="10" max="13" width="12.1640625" style="161" hidden="1" customWidth="1" outlineLevel="1"/>
    <col min="14" max="14" width="12.5" style="161" bestFit="1" customWidth="1" collapsed="1"/>
    <col min="15" max="18" width="12.1640625" style="161" hidden="1" customWidth="1" outlineLevel="1"/>
    <col min="19" max="19" width="13.1640625" style="161" bestFit="1" customWidth="1" collapsed="1"/>
    <col min="20" max="23" width="12.33203125" style="161" hidden="1" customWidth="1" outlineLevel="1"/>
    <col min="24" max="24" width="12.5" style="161" bestFit="1" customWidth="1" collapsed="1"/>
    <col min="25" max="28" width="12.33203125" style="161" hidden="1" customWidth="1" outlineLevel="1"/>
    <col min="29" max="29" width="12.5" style="161" bestFit="1" customWidth="1" collapsed="1"/>
    <col min="30" max="33" width="12.33203125" style="161" hidden="1" customWidth="1" outlineLevel="1"/>
    <col min="34" max="34" width="12.83203125" style="161" customWidth="1" collapsed="1"/>
    <col min="35" max="35" width="12.83203125" style="161" customWidth="1"/>
    <col min="36" max="36" width="14.1640625" style="161" customWidth="1"/>
  </cols>
  <sheetData>
    <row r="1" spans="1:43" s="11" customFormat="1" x14ac:dyDescent="0.2">
      <c r="B1" s="80" t="s">
        <v>222</v>
      </c>
      <c r="C1" s="81"/>
      <c r="E1" s="83"/>
      <c r="F1" s="83"/>
      <c r="G1" s="83"/>
      <c r="H1" s="83"/>
      <c r="I1" s="152"/>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c r="AL1"/>
      <c r="AM1"/>
      <c r="AN1"/>
      <c r="AO1"/>
      <c r="AP1"/>
      <c r="AQ1"/>
    </row>
    <row r="2" spans="1:43" x14ac:dyDescent="0.2">
      <c r="B2" s="11" t="s">
        <v>171</v>
      </c>
      <c r="C2" s="11"/>
      <c r="D2" s="84"/>
      <c r="E2" s="174" t="s">
        <v>172</v>
      </c>
      <c r="F2" s="174" t="s">
        <v>173</v>
      </c>
      <c r="G2" s="174" t="s">
        <v>174</v>
      </c>
      <c r="H2" s="174" t="s">
        <v>175</v>
      </c>
      <c r="I2" s="174">
        <v>2019</v>
      </c>
      <c r="J2" s="174" t="s">
        <v>176</v>
      </c>
      <c r="K2" s="174" t="s">
        <v>177</v>
      </c>
      <c r="L2" s="174" t="s">
        <v>178</v>
      </c>
      <c r="M2" s="174" t="s">
        <v>179</v>
      </c>
      <c r="N2" s="174">
        <v>2020</v>
      </c>
      <c r="O2" s="174" t="s">
        <v>180</v>
      </c>
      <c r="P2" s="174" t="s">
        <v>181</v>
      </c>
      <c r="Q2" s="174" t="s">
        <v>182</v>
      </c>
      <c r="R2" s="174" t="s">
        <v>183</v>
      </c>
      <c r="S2" s="174">
        <v>2021</v>
      </c>
      <c r="T2" s="174" t="s">
        <v>184</v>
      </c>
      <c r="U2" s="174" t="s">
        <v>185</v>
      </c>
      <c r="V2" s="174" t="s">
        <v>186</v>
      </c>
      <c r="W2" s="174" t="s">
        <v>187</v>
      </c>
      <c r="X2" s="174">
        <v>2022</v>
      </c>
      <c r="Y2" s="174" t="s">
        <v>188</v>
      </c>
      <c r="Z2" s="174" t="s">
        <v>189</v>
      </c>
      <c r="AA2" s="174" t="s">
        <v>190</v>
      </c>
      <c r="AB2" s="174" t="s">
        <v>191</v>
      </c>
      <c r="AC2" s="174">
        <v>2023</v>
      </c>
      <c r="AD2" s="174" t="s">
        <v>192</v>
      </c>
      <c r="AE2" s="174" t="s">
        <v>193</v>
      </c>
      <c r="AF2" s="174" t="s">
        <v>194</v>
      </c>
      <c r="AG2" s="174" t="s">
        <v>195</v>
      </c>
      <c r="AH2" s="174" t="s">
        <v>196</v>
      </c>
      <c r="AI2" s="174" t="s">
        <v>197</v>
      </c>
      <c r="AJ2" s="174" t="s">
        <v>198</v>
      </c>
    </row>
    <row r="3" spans="1:43" x14ac:dyDescent="0.2">
      <c r="A3" s="85"/>
      <c r="B3" s="86" t="s">
        <v>199</v>
      </c>
      <c r="C3" s="86"/>
      <c r="D3" s="88"/>
      <c r="E3" s="88">
        <v>43555</v>
      </c>
      <c r="F3" s="88">
        <f>EOMONTH(E3,3)</f>
        <v>43646</v>
      </c>
      <c r="G3" s="88">
        <f>EOMONTH(F3,3)</f>
        <v>43738</v>
      </c>
      <c r="H3" s="88">
        <f>EOMONTH(G3,3)</f>
        <v>43830</v>
      </c>
      <c r="I3" s="153">
        <f>+H3</f>
        <v>43830</v>
      </c>
      <c r="J3" s="154">
        <f>EOMONTH(I3,3)</f>
        <v>43921</v>
      </c>
      <c r="K3" s="154">
        <f>EOMONTH(J3,3)</f>
        <v>44012</v>
      </c>
      <c r="L3" s="154">
        <f>EOMONTH(K3,3)</f>
        <v>44104</v>
      </c>
      <c r="M3" s="154">
        <f>EOMONTH(L3,3)</f>
        <v>44196</v>
      </c>
      <c r="N3" s="154">
        <f>+M3</f>
        <v>44196</v>
      </c>
      <c r="O3" s="154">
        <f>EOMONTH(N3,3)</f>
        <v>44286</v>
      </c>
      <c r="P3" s="154">
        <f>EOMONTH(O3,3)</f>
        <v>44377</v>
      </c>
      <c r="Q3" s="154">
        <f>EOMONTH(P3,3)</f>
        <v>44469</v>
      </c>
      <c r="R3" s="154">
        <f>EOMONTH(Q3,3)</f>
        <v>44561</v>
      </c>
      <c r="S3" s="154">
        <f>+R3</f>
        <v>44561</v>
      </c>
      <c r="T3" s="154">
        <f>EOMONTH(S3,3)</f>
        <v>44651</v>
      </c>
      <c r="U3" s="154">
        <f>EOMONTH(T3,3)</f>
        <v>44742</v>
      </c>
      <c r="V3" s="155">
        <f>EOMONTH(U3,3)</f>
        <v>44834</v>
      </c>
      <c r="W3" s="155">
        <f>EOMONTH(V3,3)</f>
        <v>44926</v>
      </c>
      <c r="X3" s="155">
        <f>+EOMONTH(S3,12)</f>
        <v>44926</v>
      </c>
      <c r="Y3" s="154">
        <f>EOMONTH(W3,3)</f>
        <v>45016</v>
      </c>
      <c r="Z3" s="154">
        <f>EOMONTH(Y3,3)</f>
        <v>45107</v>
      </c>
      <c r="AA3" s="155">
        <f>EOMONTH(Z3,3)</f>
        <v>45199</v>
      </c>
      <c r="AB3" s="155">
        <f>EOMONTH(AA3,3)</f>
        <v>45291</v>
      </c>
      <c r="AC3" s="155">
        <f>+EOMONTH(X3,12)</f>
        <v>45291</v>
      </c>
      <c r="AD3" s="154">
        <f>EOMONTH(AB3,3)</f>
        <v>45382</v>
      </c>
      <c r="AE3" s="154">
        <f>EOMONTH(AD3,3)</f>
        <v>45473</v>
      </c>
      <c r="AF3" s="155">
        <f>EOMONTH(AE3,3)</f>
        <v>45565</v>
      </c>
      <c r="AG3" s="155">
        <f>EOMONTH(AF3,3)</f>
        <v>45657</v>
      </c>
      <c r="AH3" s="156">
        <f>+EOMONTH(AC3,12)</f>
        <v>45657</v>
      </c>
      <c r="AI3" s="156">
        <f>+EOMONTH(AG3,12)</f>
        <v>46022</v>
      </c>
      <c r="AJ3" s="156">
        <f>+EOMONTH(AH3,12)</f>
        <v>46022</v>
      </c>
    </row>
    <row r="4" spans="1:43" x14ac:dyDescent="0.2">
      <c r="B4" s="94" t="s">
        <v>200</v>
      </c>
      <c r="C4" s="94"/>
      <c r="E4" s="96">
        <v>90</v>
      </c>
      <c r="F4" s="96">
        <f>+F3-E3</f>
        <v>91</v>
      </c>
      <c r="G4" s="96">
        <f>+G3-F3</f>
        <v>92</v>
      </c>
      <c r="H4" s="96">
        <f>+H3-G3</f>
        <v>92</v>
      </c>
      <c r="I4" s="157">
        <v>365</v>
      </c>
      <c r="J4" s="158">
        <f>+J3-I3</f>
        <v>91</v>
      </c>
      <c r="K4" s="158">
        <f>+K3-J3</f>
        <v>91</v>
      </c>
      <c r="L4" s="158">
        <f>+L3-K3</f>
        <v>92</v>
      </c>
      <c r="M4" s="158">
        <f>+M3-L3</f>
        <v>92</v>
      </c>
      <c r="N4" s="158">
        <f>+N3-I3</f>
        <v>366</v>
      </c>
      <c r="O4" s="158">
        <f>+O3-N3</f>
        <v>90</v>
      </c>
      <c r="P4" s="158">
        <f>+P3-O3</f>
        <v>91</v>
      </c>
      <c r="Q4" s="158">
        <f>+Q3-P3</f>
        <v>92</v>
      </c>
      <c r="R4" s="158">
        <f>+R3-Q3</f>
        <v>92</v>
      </c>
      <c r="S4" s="158">
        <f>+S3-N3</f>
        <v>365</v>
      </c>
      <c r="T4" s="158">
        <f>+T3-S3</f>
        <v>90</v>
      </c>
      <c r="U4" s="158">
        <f>+U3-T3</f>
        <v>91</v>
      </c>
      <c r="V4" s="159">
        <f>+V3-U3</f>
        <v>92</v>
      </c>
      <c r="W4" s="159">
        <f>+W3-V3</f>
        <v>92</v>
      </c>
      <c r="X4" s="159">
        <f>X3-S3</f>
        <v>365</v>
      </c>
      <c r="Y4" s="158">
        <f>+Y3-W3</f>
        <v>90</v>
      </c>
      <c r="Z4" s="158">
        <f>+Z3-Y3</f>
        <v>91</v>
      </c>
      <c r="AA4" s="159">
        <f>+AA3-Z3</f>
        <v>92</v>
      </c>
      <c r="AB4" s="159">
        <f>+AB3-AA3</f>
        <v>92</v>
      </c>
      <c r="AC4" s="159">
        <f>AC3-X3</f>
        <v>365</v>
      </c>
      <c r="AD4" s="158">
        <f>+AD3-AB3</f>
        <v>91</v>
      </c>
      <c r="AE4" s="158">
        <f>+AE3-AD3</f>
        <v>91</v>
      </c>
      <c r="AF4" s="159">
        <f>+AF3-AE3</f>
        <v>92</v>
      </c>
      <c r="AG4" s="159">
        <f>+AG3-AF3</f>
        <v>92</v>
      </c>
      <c r="AH4" s="160">
        <f>AH3-AC3</f>
        <v>366</v>
      </c>
      <c r="AI4" s="160">
        <f>AI3-AG3</f>
        <v>365</v>
      </c>
      <c r="AJ4" s="160">
        <f>AJ3-AH3</f>
        <v>365</v>
      </c>
    </row>
    <row r="5" spans="1:43" x14ac:dyDescent="0.2">
      <c r="A5" s="112"/>
      <c r="B5" s="112" t="s">
        <v>201</v>
      </c>
      <c r="C5" s="112"/>
      <c r="D5" s="112"/>
      <c r="E5" s="112"/>
      <c r="F5" s="112"/>
      <c r="G5" s="112"/>
      <c r="H5" s="112"/>
      <c r="I5" s="112"/>
      <c r="J5" s="112"/>
      <c r="K5" s="112"/>
      <c r="L5" s="112"/>
      <c r="M5" s="112"/>
      <c r="N5" s="112"/>
      <c r="O5" s="112"/>
      <c r="P5" s="112"/>
      <c r="Q5" s="112"/>
      <c r="R5" s="112"/>
      <c r="S5" s="112"/>
      <c r="T5" s="112"/>
      <c r="U5" s="112"/>
      <c r="V5" s="112"/>
      <c r="W5" s="112"/>
      <c r="X5" s="112"/>
      <c r="Y5" s="112"/>
      <c r="Z5" s="112"/>
      <c r="AA5" s="112"/>
      <c r="AB5" s="112"/>
      <c r="AC5" s="112"/>
      <c r="AD5" s="112"/>
      <c r="AE5" s="112"/>
      <c r="AF5" s="112"/>
      <c r="AG5" s="112"/>
      <c r="AH5" s="112"/>
      <c r="AI5" s="112"/>
      <c r="AJ5" s="112"/>
    </row>
    <row r="6" spans="1:43" x14ac:dyDescent="0.2">
      <c r="B6" t="s">
        <v>55</v>
      </c>
      <c r="C6" s="94"/>
      <c r="E6" s="96"/>
      <c r="F6" s="96"/>
      <c r="G6" s="96"/>
      <c r="H6" s="96"/>
      <c r="I6" s="157">
        <v>5561036</v>
      </c>
      <c r="J6" s="158"/>
      <c r="K6" s="158"/>
      <c r="L6" s="158"/>
      <c r="M6" s="158"/>
      <c r="N6" s="157">
        <v>5920545</v>
      </c>
      <c r="O6" s="158"/>
      <c r="P6" s="158"/>
      <c r="Q6" s="158"/>
      <c r="R6" s="158"/>
      <c r="S6" s="157">
        <v>7457169</v>
      </c>
      <c r="T6" s="158">
        <v>1998956</v>
      </c>
      <c r="U6" s="158">
        <v>2192802</v>
      </c>
      <c r="V6" s="158">
        <v>2202336</v>
      </c>
      <c r="W6" s="158">
        <f>X6-V6-U6-T6</f>
        <v>2163907</v>
      </c>
      <c r="X6" s="157">
        <v>8558001</v>
      </c>
      <c r="Y6" s="158">
        <v>2351009</v>
      </c>
      <c r="Z6" s="158">
        <v>2497509</v>
      </c>
      <c r="AA6" s="158">
        <v>2456039</v>
      </c>
      <c r="AB6" s="158">
        <f>AC6-AA6-Z6-Y6</f>
        <v>2499567</v>
      </c>
      <c r="AC6" s="157">
        <v>9804124</v>
      </c>
      <c r="AD6" s="158">
        <v>2684447</v>
      </c>
      <c r="AE6" s="158">
        <v>2954913</v>
      </c>
      <c r="AF6" s="158"/>
      <c r="AG6" s="158"/>
      <c r="AH6" s="160"/>
      <c r="AI6" s="160"/>
      <c r="AJ6" s="160"/>
    </row>
    <row r="7" spans="1:43" x14ac:dyDescent="0.2">
      <c r="B7" s="118" t="s">
        <v>204</v>
      </c>
      <c r="C7" s="94"/>
      <c r="E7" s="96"/>
      <c r="F7" s="96"/>
      <c r="G7" s="96"/>
      <c r="H7" s="96"/>
      <c r="I7" s="162" t="s">
        <v>132</v>
      </c>
      <c r="J7" s="163"/>
      <c r="K7" s="163"/>
      <c r="L7" s="163"/>
      <c r="M7" s="163"/>
      <c r="N7" s="164">
        <f>N6/I6-1</f>
        <v>6.4647846192687819E-2</v>
      </c>
      <c r="O7" s="164" t="e">
        <f t="shared" ref="O7:AC7" si="0">O6/J6-1</f>
        <v>#DIV/0!</v>
      </c>
      <c r="P7" s="164" t="e">
        <f t="shared" si="0"/>
        <v>#DIV/0!</v>
      </c>
      <c r="Q7" s="164" t="e">
        <f t="shared" si="0"/>
        <v>#DIV/0!</v>
      </c>
      <c r="R7" s="164" t="e">
        <f t="shared" si="0"/>
        <v>#DIV/0!</v>
      </c>
      <c r="S7" s="164">
        <f t="shared" si="0"/>
        <v>0.25954097131260712</v>
      </c>
      <c r="T7" s="164" t="e">
        <f t="shared" si="0"/>
        <v>#DIV/0!</v>
      </c>
      <c r="U7" s="164" t="e">
        <f t="shared" si="0"/>
        <v>#DIV/0!</v>
      </c>
      <c r="V7" s="164" t="e">
        <f t="shared" si="0"/>
        <v>#DIV/0!</v>
      </c>
      <c r="W7" s="164" t="e">
        <f t="shared" si="0"/>
        <v>#DIV/0!</v>
      </c>
      <c r="X7" s="164">
        <f t="shared" si="0"/>
        <v>0.14762063190468133</v>
      </c>
      <c r="Y7" s="164">
        <f>Y6/T6-1</f>
        <v>0.17611843382245529</v>
      </c>
      <c r="Z7" s="164">
        <f t="shared" si="0"/>
        <v>0.13895782656163203</v>
      </c>
      <c r="AA7" s="164">
        <f t="shared" si="0"/>
        <v>0.11519722694448076</v>
      </c>
      <c r="AB7" s="164">
        <f t="shared" si="0"/>
        <v>0.15511757205831866</v>
      </c>
      <c r="AC7" s="164">
        <f t="shared" si="0"/>
        <v>0.14560912063459686</v>
      </c>
      <c r="AD7" s="164">
        <f>AD6/Y6-1</f>
        <v>0.14182761529198751</v>
      </c>
      <c r="AE7" s="164">
        <f>AE6/Z6-1</f>
        <v>0.18314408476606081</v>
      </c>
      <c r="AF7" s="164"/>
      <c r="AG7" s="164"/>
      <c r="AH7" s="160"/>
      <c r="AI7" s="160"/>
      <c r="AJ7" s="160"/>
    </row>
    <row r="8" spans="1:43" x14ac:dyDescent="0.2">
      <c r="B8" t="s">
        <v>54</v>
      </c>
      <c r="C8" s="94"/>
      <c r="E8" s="96"/>
      <c r="F8" s="96"/>
      <c r="G8" s="96"/>
      <c r="H8" s="96"/>
      <c r="I8" s="157">
        <v>25333</v>
      </c>
      <c r="J8" s="158"/>
      <c r="K8" s="158"/>
      <c r="L8" s="158"/>
      <c r="M8" s="158"/>
      <c r="N8" s="157">
        <v>64089</v>
      </c>
      <c r="O8" s="158"/>
      <c r="P8" s="158"/>
      <c r="Q8" s="158"/>
      <c r="R8" s="158"/>
      <c r="S8" s="157">
        <v>89892</v>
      </c>
      <c r="T8" s="158">
        <v>21583</v>
      </c>
      <c r="U8" s="158">
        <v>20537</v>
      </c>
      <c r="V8" s="158">
        <v>17839</v>
      </c>
      <c r="W8" s="158">
        <f>X8-V8-U8-T8</f>
        <v>16692</v>
      </c>
      <c r="X8" s="157">
        <v>76651</v>
      </c>
      <c r="Y8" s="158">
        <v>17571</v>
      </c>
      <c r="Z8" s="158">
        <v>17292</v>
      </c>
      <c r="AA8" s="158">
        <v>15909</v>
      </c>
      <c r="AB8" s="158">
        <f>AC8-AA8-Z8-Y8</f>
        <v>16753</v>
      </c>
      <c r="AC8" s="157">
        <v>67525</v>
      </c>
      <c r="AD8" s="158">
        <v>17401</v>
      </c>
      <c r="AE8" s="158">
        <v>18204</v>
      </c>
      <c r="AF8" s="158"/>
      <c r="AG8" s="158"/>
      <c r="AH8" s="160"/>
      <c r="AI8" s="160"/>
      <c r="AJ8" s="160"/>
    </row>
    <row r="9" spans="1:43" x14ac:dyDescent="0.2">
      <c r="B9" s="118" t="s">
        <v>204</v>
      </c>
      <c r="C9" s="94"/>
      <c r="E9" s="96"/>
      <c r="F9" s="96"/>
      <c r="G9" s="96"/>
      <c r="H9" s="96"/>
      <c r="I9" s="162" t="s">
        <v>132</v>
      </c>
      <c r="J9" s="163"/>
      <c r="K9" s="163"/>
      <c r="L9" s="163"/>
      <c r="M9" s="163"/>
      <c r="N9" s="164">
        <f>N8/I8-1</f>
        <v>1.5298622350294084</v>
      </c>
      <c r="O9" s="164" t="e">
        <f t="shared" ref="O9:AC9" si="1">O8/J8-1</f>
        <v>#DIV/0!</v>
      </c>
      <c r="P9" s="164" t="e">
        <f t="shared" si="1"/>
        <v>#DIV/0!</v>
      </c>
      <c r="Q9" s="164" t="e">
        <f t="shared" si="1"/>
        <v>#DIV/0!</v>
      </c>
      <c r="R9" s="164" t="e">
        <f t="shared" si="1"/>
        <v>#DIV/0!</v>
      </c>
      <c r="S9" s="164">
        <f t="shared" si="1"/>
        <v>0.4026119926976548</v>
      </c>
      <c r="T9" s="164" t="e">
        <f t="shared" si="1"/>
        <v>#DIV/0!</v>
      </c>
      <c r="U9" s="164" t="e">
        <f t="shared" si="1"/>
        <v>#DIV/0!</v>
      </c>
      <c r="V9" s="164" t="e">
        <f t="shared" si="1"/>
        <v>#DIV/0!</v>
      </c>
      <c r="W9" s="164" t="e">
        <f t="shared" si="1"/>
        <v>#DIV/0!</v>
      </c>
      <c r="X9" s="164">
        <f t="shared" si="1"/>
        <v>-0.14729898099942151</v>
      </c>
      <c r="Y9" s="164">
        <f t="shared" si="1"/>
        <v>-0.18588704072649775</v>
      </c>
      <c r="Z9" s="164">
        <f t="shared" si="1"/>
        <v>-0.15800749866095343</v>
      </c>
      <c r="AA9" s="164">
        <f t="shared" si="1"/>
        <v>-0.10818992095969504</v>
      </c>
      <c r="AB9" s="164">
        <f t="shared" si="1"/>
        <v>3.6544452432303309E-3</v>
      </c>
      <c r="AC9" s="164">
        <f t="shared" si="1"/>
        <v>-0.11905911207942488</v>
      </c>
      <c r="AD9" s="164">
        <f t="shared" ref="AD9" si="2">AD8/Y8-1</f>
        <v>-9.6750327243754208E-3</v>
      </c>
      <c r="AE9" s="164">
        <f>AE8/Z8-1</f>
        <v>5.2741151977793166E-2</v>
      </c>
      <c r="AF9" s="164"/>
      <c r="AG9" s="164"/>
      <c r="AH9" s="160"/>
      <c r="AI9" s="160"/>
      <c r="AJ9" s="160"/>
    </row>
    <row r="10" spans="1:43" s="11" customFormat="1" x14ac:dyDescent="0.2">
      <c r="B10" s="123" t="s">
        <v>53</v>
      </c>
      <c r="C10" s="122"/>
      <c r="D10" s="123"/>
      <c r="E10" s="124"/>
      <c r="F10" s="124"/>
      <c r="G10" s="124"/>
      <c r="H10" s="124"/>
      <c r="I10" s="166">
        <v>5586369</v>
      </c>
      <c r="J10" s="167"/>
      <c r="K10" s="167"/>
      <c r="L10" s="167"/>
      <c r="M10" s="167"/>
      <c r="N10" s="166">
        <v>5984634</v>
      </c>
      <c r="O10" s="167"/>
      <c r="P10" s="167"/>
      <c r="Q10" s="167"/>
      <c r="R10" s="167"/>
      <c r="S10" s="166">
        <v>7547061</v>
      </c>
      <c r="T10" s="167">
        <v>2020539</v>
      </c>
      <c r="U10" s="167">
        <v>2213339</v>
      </c>
      <c r="V10" s="167">
        <v>2220175</v>
      </c>
      <c r="W10" s="169">
        <f>X10-V10-U10-T10</f>
        <v>2180599</v>
      </c>
      <c r="X10" s="166">
        <v>8634652</v>
      </c>
      <c r="Y10" s="166">
        <v>2368580</v>
      </c>
      <c r="Z10" s="167">
        <v>2514801</v>
      </c>
      <c r="AA10" s="167">
        <v>2471948</v>
      </c>
      <c r="AB10" s="167">
        <f>AC10-AA10-Z10-Y10</f>
        <v>2516320</v>
      </c>
      <c r="AC10" s="166">
        <v>9871649</v>
      </c>
      <c r="AD10" s="166">
        <v>2701848</v>
      </c>
      <c r="AE10" s="167">
        <f>AE8+AE6</f>
        <v>2973117</v>
      </c>
      <c r="AF10" s="167"/>
      <c r="AG10" s="167"/>
      <c r="AH10" s="168">
        <f>AH13*AH15</f>
        <v>11279263.1809124</v>
      </c>
      <c r="AI10" s="168">
        <f t="shared" ref="AI10:AJ10" si="3">AI13*AI15</f>
        <v>12873896.029353155</v>
      </c>
      <c r="AJ10" s="168">
        <f t="shared" si="3"/>
        <v>14677827.472413147</v>
      </c>
    </row>
    <row r="11" spans="1:43" s="11" customFormat="1" x14ac:dyDescent="0.2">
      <c r="B11" s="286" t="s">
        <v>302</v>
      </c>
      <c r="C11" s="104"/>
      <c r="E11" s="106"/>
      <c r="F11" s="106"/>
      <c r="G11" s="106"/>
      <c r="H11" s="106"/>
      <c r="I11" s="435">
        <v>5549000</v>
      </c>
      <c r="J11" s="435"/>
      <c r="K11" s="435"/>
      <c r="L11" s="435"/>
      <c r="M11" s="435"/>
      <c r="N11" s="435">
        <v>5984200</v>
      </c>
      <c r="O11" s="435"/>
      <c r="P11" s="435"/>
      <c r="Q11" s="435"/>
      <c r="R11" s="435"/>
      <c r="S11" s="435">
        <v>7546300</v>
      </c>
      <c r="T11" s="435"/>
      <c r="U11" s="435"/>
      <c r="V11" s="435"/>
      <c r="W11" s="435"/>
      <c r="X11" s="435">
        <v>8686700</v>
      </c>
      <c r="Y11" s="435"/>
      <c r="Z11" s="435"/>
      <c r="AA11" s="435"/>
      <c r="AB11" s="435"/>
      <c r="AC11" s="435">
        <v>9843100</v>
      </c>
      <c r="AD11" s="435"/>
      <c r="AE11" s="435"/>
      <c r="AF11" s="435"/>
      <c r="AG11" s="435"/>
      <c r="AH11" s="435">
        <v>11340400</v>
      </c>
      <c r="AI11" s="435">
        <v>12873700</v>
      </c>
      <c r="AJ11" s="435">
        <v>14639100</v>
      </c>
    </row>
    <row r="12" spans="1:43" s="11" customFormat="1" x14ac:dyDescent="0.2">
      <c r="B12" s="118" t="s">
        <v>204</v>
      </c>
      <c r="C12" s="104"/>
      <c r="E12" s="106"/>
      <c r="F12" s="106"/>
      <c r="G12" s="106"/>
      <c r="H12" s="106"/>
      <c r="I12" s="162" t="s">
        <v>132</v>
      </c>
      <c r="J12" s="163"/>
      <c r="K12" s="163"/>
      <c r="L12" s="163"/>
      <c r="M12" s="163"/>
      <c r="N12" s="164">
        <f>N10/I10-1</f>
        <v>7.1292283055415684E-2</v>
      </c>
      <c r="O12" s="164" t="e">
        <f t="shared" ref="O12:AC12" si="4">O10/J10-1</f>
        <v>#DIV/0!</v>
      </c>
      <c r="P12" s="164" t="e">
        <f t="shared" si="4"/>
        <v>#DIV/0!</v>
      </c>
      <c r="Q12" s="164" t="e">
        <f t="shared" si="4"/>
        <v>#DIV/0!</v>
      </c>
      <c r="R12" s="164" t="e">
        <f t="shared" si="4"/>
        <v>#DIV/0!</v>
      </c>
      <c r="S12" s="164">
        <f t="shared" si="4"/>
        <v>0.26107310823017738</v>
      </c>
      <c r="T12" s="164" t="e">
        <f t="shared" si="4"/>
        <v>#DIV/0!</v>
      </c>
      <c r="U12" s="164" t="e">
        <f t="shared" si="4"/>
        <v>#DIV/0!</v>
      </c>
      <c r="V12" s="164" t="e">
        <f t="shared" si="4"/>
        <v>#DIV/0!</v>
      </c>
      <c r="W12" s="164" t="e">
        <f t="shared" si="4"/>
        <v>#DIV/0!</v>
      </c>
      <c r="X12" s="164">
        <f t="shared" si="4"/>
        <v>0.14410788517543449</v>
      </c>
      <c r="Y12" s="164">
        <f t="shared" si="4"/>
        <v>0.17225156257810426</v>
      </c>
      <c r="Z12" s="164">
        <f t="shared" si="4"/>
        <v>0.13620236213250658</v>
      </c>
      <c r="AA12" s="164">
        <f t="shared" si="4"/>
        <v>0.11340232188904031</v>
      </c>
      <c r="AB12" s="164">
        <f t="shared" si="4"/>
        <v>0.1539581555343279</v>
      </c>
      <c r="AC12" s="164">
        <f t="shared" si="4"/>
        <v>0.14325962412845361</v>
      </c>
      <c r="AD12" s="164">
        <f t="shared" ref="AD12" si="5">AD10/Y10-1</f>
        <v>0.14070371277305393</v>
      </c>
      <c r="AE12" s="164"/>
      <c r="AF12" s="164"/>
      <c r="AG12" s="164"/>
      <c r="AH12" s="240">
        <f>AH10/AC10-1</f>
        <v>0.14259159547836431</v>
      </c>
      <c r="AI12" s="240">
        <f>AI10/AH10-1</f>
        <v>0.14137739521312964</v>
      </c>
      <c r="AJ12" s="240">
        <f t="shared" ref="AJ12" si="6">AJ10/AI10-1</f>
        <v>0.1401231949478956</v>
      </c>
    </row>
    <row r="13" spans="1:43" s="11" customFormat="1" x14ac:dyDescent="0.2">
      <c r="B13" s="118" t="s">
        <v>224</v>
      </c>
      <c r="C13" s="104"/>
      <c r="E13" s="106"/>
      <c r="F13" s="106"/>
      <c r="G13" s="106"/>
      <c r="H13" s="106"/>
      <c r="I13" s="162">
        <f>'CMG restaurant activity'!J40</f>
        <v>2622</v>
      </c>
      <c r="J13" s="162"/>
      <c r="K13" s="162"/>
      <c r="L13" s="162"/>
      <c r="M13" s="162"/>
      <c r="N13" s="162">
        <f>'CMG restaurant activity'!H40</f>
        <v>2768</v>
      </c>
      <c r="O13" s="162"/>
      <c r="P13" s="162"/>
      <c r="Q13" s="162"/>
      <c r="R13" s="162"/>
      <c r="S13" s="162">
        <f>'CMG restaurant activity'!F40</f>
        <v>2966</v>
      </c>
      <c r="T13" s="162"/>
      <c r="U13" s="162"/>
      <c r="V13" s="162"/>
      <c r="W13" s="162"/>
      <c r="X13" s="162">
        <f>'CMG restaurant activity'!D40</f>
        <v>3187</v>
      </c>
      <c r="Y13" s="162"/>
      <c r="Z13" s="162"/>
      <c r="AA13" s="162"/>
      <c r="AB13" s="162"/>
      <c r="AC13" s="162">
        <f>'CMG restaurant activity'!B40</f>
        <v>3437</v>
      </c>
      <c r="AD13" s="162"/>
      <c r="AE13" s="162"/>
      <c r="AF13" s="162"/>
      <c r="AG13" s="162"/>
      <c r="AH13" s="160">
        <f>AC13*(1+AH14)</f>
        <v>3722.0000000000005</v>
      </c>
      <c r="AI13" s="160">
        <f>AH13*(1+AI14)</f>
        <v>4045.5205283677633</v>
      </c>
      <c r="AJ13" s="160">
        <f>AI13*(1+AJ14)</f>
        <v>4413.34391592459</v>
      </c>
    </row>
    <row r="14" spans="1:43" s="11" customFormat="1" x14ac:dyDescent="0.2">
      <c r="B14" s="118" t="s">
        <v>221</v>
      </c>
      <c r="C14" s="104"/>
      <c r="E14" s="106"/>
      <c r="F14" s="106"/>
      <c r="G14" s="106"/>
      <c r="H14" s="106"/>
      <c r="I14" s="162" t="s">
        <v>132</v>
      </c>
      <c r="J14" s="162"/>
      <c r="K14" s="162"/>
      <c r="L14" s="162"/>
      <c r="M14" s="162"/>
      <c r="N14" s="190">
        <f>'CMG restaurant activity'!H42</f>
        <v>5.5682684973302754E-2</v>
      </c>
      <c r="O14" s="190"/>
      <c r="P14" s="190"/>
      <c r="Q14" s="190"/>
      <c r="R14" s="190"/>
      <c r="S14" s="190">
        <f>'CMG restaurant activity'!F42</f>
        <v>7.1531791907514464E-2</v>
      </c>
      <c r="T14" s="190"/>
      <c r="U14" s="190"/>
      <c r="V14" s="190"/>
      <c r="W14" s="190"/>
      <c r="X14" s="190">
        <f>'CMG restaurant activity'!D42</f>
        <v>7.4511126095751834E-2</v>
      </c>
      <c r="Y14" s="190"/>
      <c r="Z14" s="190"/>
      <c r="AA14" s="190"/>
      <c r="AB14" s="190"/>
      <c r="AC14" s="190">
        <f>'CMG restaurant activity'!B42</f>
        <v>7.8443677439598458E-2</v>
      </c>
      <c r="AD14" s="190"/>
      <c r="AE14" s="190"/>
      <c r="AF14" s="190"/>
      <c r="AG14" s="190"/>
      <c r="AH14" s="240">
        <f>'CMG restaurant activity'!D63</f>
        <v>8.2921152167588108E-2</v>
      </c>
      <c r="AI14" s="240">
        <f>AH14+0.4%</f>
        <v>8.6921152167588112E-2</v>
      </c>
      <c r="AJ14" s="240">
        <f>AI14+0.4%</f>
        <v>9.0921152167588115E-2</v>
      </c>
    </row>
    <row r="15" spans="1:43" s="11" customFormat="1" x14ac:dyDescent="0.2">
      <c r="B15" t="s">
        <v>0</v>
      </c>
      <c r="C15" s="104"/>
      <c r="E15" s="106"/>
      <c r="F15" s="106"/>
      <c r="G15" s="106"/>
      <c r="H15" s="106"/>
      <c r="I15" s="173">
        <f t="shared" ref="I15:AD15" si="7">I10/I13</f>
        <v>2130.5755148741418</v>
      </c>
      <c r="J15" s="173" t="e">
        <f t="shared" si="7"/>
        <v>#DIV/0!</v>
      </c>
      <c r="K15" s="173" t="e">
        <f t="shared" si="7"/>
        <v>#DIV/0!</v>
      </c>
      <c r="L15" s="173" t="e">
        <f t="shared" si="7"/>
        <v>#DIV/0!</v>
      </c>
      <c r="M15" s="173" t="e">
        <f t="shared" si="7"/>
        <v>#DIV/0!</v>
      </c>
      <c r="N15" s="173">
        <f t="shared" si="7"/>
        <v>2162.0787572254335</v>
      </c>
      <c r="O15" s="173" t="e">
        <f t="shared" si="7"/>
        <v>#DIV/0!</v>
      </c>
      <c r="P15" s="173" t="e">
        <f t="shared" si="7"/>
        <v>#DIV/0!</v>
      </c>
      <c r="Q15" s="173" t="e">
        <f t="shared" si="7"/>
        <v>#DIV/0!</v>
      </c>
      <c r="R15" s="173" t="e">
        <f t="shared" si="7"/>
        <v>#DIV/0!</v>
      </c>
      <c r="S15" s="173">
        <f t="shared" si="7"/>
        <v>2544.5249494268373</v>
      </c>
      <c r="T15" s="173" t="e">
        <f t="shared" si="7"/>
        <v>#DIV/0!</v>
      </c>
      <c r="U15" s="173" t="e">
        <f t="shared" si="7"/>
        <v>#DIV/0!</v>
      </c>
      <c r="V15" s="173" t="e">
        <f t="shared" si="7"/>
        <v>#DIV/0!</v>
      </c>
      <c r="W15" s="173" t="e">
        <f t="shared" si="7"/>
        <v>#DIV/0!</v>
      </c>
      <c r="X15" s="173">
        <f t="shared" si="7"/>
        <v>2709.3354251647315</v>
      </c>
      <c r="Y15" s="173" t="e">
        <f t="shared" si="7"/>
        <v>#DIV/0!</v>
      </c>
      <c r="Z15" s="173" t="e">
        <f t="shared" si="7"/>
        <v>#DIV/0!</v>
      </c>
      <c r="AA15" s="173" t="e">
        <f t="shared" si="7"/>
        <v>#DIV/0!</v>
      </c>
      <c r="AB15" s="173" t="e">
        <f t="shared" si="7"/>
        <v>#DIV/0!</v>
      </c>
      <c r="AC15" s="173">
        <f t="shared" si="7"/>
        <v>2872.1702065755021</v>
      </c>
      <c r="AD15" s="173" t="e">
        <f t="shared" si="7"/>
        <v>#DIV/0!</v>
      </c>
      <c r="AE15" s="173"/>
      <c r="AF15" s="173"/>
      <c r="AG15" s="173"/>
      <c r="AH15" s="160">
        <f>AC15*(1+AH16)</f>
        <v>3030.4307310350346</v>
      </c>
      <c r="AI15" s="160">
        <f>AH15*(1+AI16)</f>
        <v>3182.2594741713883</v>
      </c>
      <c r="AJ15" s="160">
        <f>AI15*(1+AJ16)</f>
        <v>3325.7837485656632</v>
      </c>
    </row>
    <row r="16" spans="1:43" s="11" customFormat="1" x14ac:dyDescent="0.2">
      <c r="B16" t="s">
        <v>223</v>
      </c>
      <c r="C16" s="104"/>
      <c r="E16" s="106"/>
      <c r="F16" s="106"/>
      <c r="G16" s="106"/>
      <c r="H16" s="106"/>
      <c r="I16" s="189" t="s">
        <v>132</v>
      </c>
      <c r="J16" s="173"/>
      <c r="K16" s="173"/>
      <c r="L16" s="173"/>
      <c r="M16" s="173"/>
      <c r="N16" s="165">
        <f>N15/I15-1</f>
        <v>1.4786259454949491E-2</v>
      </c>
      <c r="O16" s="165" t="e">
        <f t="shared" ref="O16:AB16" si="8">O15/J15-1</f>
        <v>#DIV/0!</v>
      </c>
      <c r="P16" s="165" t="e">
        <f t="shared" si="8"/>
        <v>#DIV/0!</v>
      </c>
      <c r="Q16" s="165" t="e">
        <f t="shared" si="8"/>
        <v>#DIV/0!</v>
      </c>
      <c r="R16" s="165" t="e">
        <f t="shared" si="8"/>
        <v>#DIV/0!</v>
      </c>
      <c r="S16" s="165">
        <f t="shared" si="8"/>
        <v>0.17688818731663214</v>
      </c>
      <c r="T16" s="165" t="e">
        <f t="shared" si="8"/>
        <v>#DIV/0!</v>
      </c>
      <c r="U16" s="165" t="e">
        <f t="shared" si="8"/>
        <v>#DIV/0!</v>
      </c>
      <c r="V16" s="165" t="e">
        <f t="shared" si="8"/>
        <v>#DIV/0!</v>
      </c>
      <c r="W16" s="165" t="e">
        <f t="shared" si="8"/>
        <v>#DIV/0!</v>
      </c>
      <c r="X16" s="165">
        <f t="shared" si="8"/>
        <v>6.4770626743124726E-2</v>
      </c>
      <c r="Y16" s="165" t="e">
        <f t="shared" si="8"/>
        <v>#DIV/0!</v>
      </c>
      <c r="Z16" s="165" t="e">
        <f t="shared" si="8"/>
        <v>#DIV/0!</v>
      </c>
      <c r="AA16" s="165" t="e">
        <f t="shared" si="8"/>
        <v>#DIV/0!</v>
      </c>
      <c r="AB16" s="165" t="e">
        <f t="shared" si="8"/>
        <v>#DIV/0!</v>
      </c>
      <c r="AC16" s="165">
        <f>AC15/X15-1</f>
        <v>6.0101373900896649E-2</v>
      </c>
      <c r="AD16" s="165" t="e">
        <f t="shared" ref="AD16" si="9">AD15/Y15-1</f>
        <v>#DIV/0!</v>
      </c>
      <c r="AE16" s="165"/>
      <c r="AF16" s="165"/>
      <c r="AG16" s="165"/>
      <c r="AH16" s="240">
        <f>AC16-0.5%</f>
        <v>5.5101373900896651E-2</v>
      </c>
      <c r="AI16" s="240">
        <f>AH16-0.5%</f>
        <v>5.0101373900896654E-2</v>
      </c>
      <c r="AJ16" s="240">
        <f>AI16-0.5%</f>
        <v>4.5101373900896656E-2</v>
      </c>
    </row>
    <row r="17" spans="2:36" s="11" customFormat="1" x14ac:dyDescent="0.2">
      <c r="B17" s="118"/>
      <c r="C17" s="104"/>
      <c r="E17" s="106"/>
      <c r="F17" s="106"/>
      <c r="G17" s="106"/>
      <c r="H17" s="106"/>
      <c r="I17" s="165"/>
      <c r="J17" s="173"/>
      <c r="K17" s="173"/>
      <c r="L17" s="173"/>
      <c r="M17" s="173"/>
      <c r="N17" s="173"/>
      <c r="O17" s="173"/>
      <c r="P17" s="173"/>
      <c r="Q17" s="173"/>
      <c r="R17" s="173"/>
      <c r="S17" s="173"/>
      <c r="T17" s="173"/>
      <c r="U17" s="173"/>
      <c r="V17" s="173"/>
      <c r="W17" s="173"/>
      <c r="X17" s="173"/>
      <c r="Y17" s="173"/>
      <c r="Z17" s="173"/>
      <c r="AA17" s="173"/>
      <c r="AB17" s="173"/>
      <c r="AC17" s="173"/>
      <c r="AD17" s="173"/>
      <c r="AE17" s="173"/>
      <c r="AF17" s="173"/>
      <c r="AG17" s="173"/>
      <c r="AH17" s="160"/>
      <c r="AI17" s="160"/>
      <c r="AJ17" s="160"/>
    </row>
    <row r="18" spans="2:36" ht="15" customHeight="1" x14ac:dyDescent="0.2">
      <c r="B18" s="121" t="s">
        <v>205</v>
      </c>
      <c r="C18" s="94"/>
      <c r="E18" s="96"/>
      <c r="F18" s="96"/>
      <c r="G18" s="96"/>
      <c r="H18" s="96"/>
      <c r="I18" s="173"/>
      <c r="J18" s="187"/>
      <c r="K18" s="187"/>
      <c r="L18" s="187"/>
      <c r="M18" s="187"/>
      <c r="N18" s="173"/>
      <c r="O18" s="187"/>
      <c r="P18" s="187"/>
      <c r="Q18" s="187"/>
      <c r="R18" s="187"/>
      <c r="S18" s="173"/>
      <c r="T18" s="187"/>
      <c r="U18" s="187"/>
      <c r="V18" s="187"/>
      <c r="W18" s="187"/>
      <c r="X18" s="173"/>
      <c r="Y18" s="187"/>
      <c r="Z18" s="187"/>
      <c r="AA18" s="187"/>
      <c r="AB18" s="187"/>
      <c r="AC18" s="173"/>
      <c r="AD18" s="187"/>
      <c r="AE18" s="187"/>
      <c r="AF18" s="187"/>
      <c r="AG18" s="187"/>
      <c r="AH18" s="160"/>
      <c r="AI18" s="160"/>
      <c r="AJ18" s="160"/>
    </row>
    <row r="19" spans="2:36" x14ac:dyDescent="0.2">
      <c r="B19" t="s">
        <v>51</v>
      </c>
      <c r="C19" s="94"/>
      <c r="E19" s="96"/>
      <c r="F19" s="96"/>
      <c r="G19" s="96"/>
      <c r="H19" s="96"/>
      <c r="I19" s="157">
        <v>1847916</v>
      </c>
      <c r="J19" s="158"/>
      <c r="K19" s="158"/>
      <c r="L19" s="158"/>
      <c r="M19" s="158"/>
      <c r="N19" s="157">
        <v>1932766</v>
      </c>
      <c r="O19" s="158"/>
      <c r="P19" s="158"/>
      <c r="Q19" s="158"/>
      <c r="R19" s="158"/>
      <c r="S19" s="157">
        <v>2308631</v>
      </c>
      <c r="T19" s="158">
        <v>626926</v>
      </c>
      <c r="U19" s="158">
        <v>673928</v>
      </c>
      <c r="V19" s="158">
        <v>662540</v>
      </c>
      <c r="W19" s="158">
        <f>X19-V19-U19-T19</f>
        <v>638851</v>
      </c>
      <c r="X19" s="157">
        <v>2602245</v>
      </c>
      <c r="Y19" s="158">
        <v>692559</v>
      </c>
      <c r="Z19" s="158">
        <v>738664</v>
      </c>
      <c r="AA19" s="158">
        <v>734186</v>
      </c>
      <c r="AB19" s="158">
        <f>AC19-AA19-Z19-Y19</f>
        <v>747155</v>
      </c>
      <c r="AC19" s="157">
        <v>2912564</v>
      </c>
      <c r="AD19" s="158">
        <v>779076</v>
      </c>
      <c r="AE19" s="158">
        <v>873673</v>
      </c>
      <c r="AF19" s="158"/>
      <c r="AG19" s="158"/>
      <c r="AH19" s="160"/>
      <c r="AI19" s="160"/>
      <c r="AJ19" s="160"/>
    </row>
    <row r="20" spans="2:36" x14ac:dyDescent="0.2">
      <c r="B20" s="118" t="s">
        <v>204</v>
      </c>
      <c r="C20" s="94"/>
      <c r="E20" s="96"/>
      <c r="F20" s="96"/>
      <c r="G20" s="96"/>
      <c r="H20" s="96"/>
      <c r="I20" s="162" t="s">
        <v>132</v>
      </c>
      <c r="J20" s="163"/>
      <c r="K20" s="163"/>
      <c r="L20" s="163"/>
      <c r="M20" s="163"/>
      <c r="N20" s="164">
        <f>N19/I19-1</f>
        <v>4.5916589282196885E-2</v>
      </c>
      <c r="O20" s="164" t="e">
        <f t="shared" ref="O20:AC20" si="10">O19/J19-1</f>
        <v>#DIV/0!</v>
      </c>
      <c r="P20" s="164" t="e">
        <f t="shared" si="10"/>
        <v>#DIV/0!</v>
      </c>
      <c r="Q20" s="164" t="e">
        <f t="shared" si="10"/>
        <v>#DIV/0!</v>
      </c>
      <c r="R20" s="164" t="e">
        <f t="shared" si="10"/>
        <v>#DIV/0!</v>
      </c>
      <c r="S20" s="164">
        <f t="shared" si="10"/>
        <v>0.19446999792007924</v>
      </c>
      <c r="T20" s="164" t="e">
        <f t="shared" si="10"/>
        <v>#DIV/0!</v>
      </c>
      <c r="U20" s="164" t="e">
        <f t="shared" si="10"/>
        <v>#DIV/0!</v>
      </c>
      <c r="V20" s="164" t="e">
        <f t="shared" si="10"/>
        <v>#DIV/0!</v>
      </c>
      <c r="W20" s="164" t="e">
        <f t="shared" si="10"/>
        <v>#DIV/0!</v>
      </c>
      <c r="X20" s="164">
        <f t="shared" si="10"/>
        <v>0.12718100034176105</v>
      </c>
      <c r="Y20" s="164">
        <f t="shared" si="10"/>
        <v>0.10469018672060182</v>
      </c>
      <c r="Z20" s="164">
        <f t="shared" si="10"/>
        <v>9.6057739105661177E-2</v>
      </c>
      <c r="AA20" s="164">
        <f t="shared" si="10"/>
        <v>0.10813837655084968</v>
      </c>
      <c r="AB20" s="164">
        <f t="shared" si="10"/>
        <v>0.16952935817585013</v>
      </c>
      <c r="AC20" s="164">
        <f t="shared" si="10"/>
        <v>0.1192504933240337</v>
      </c>
      <c r="AD20" s="164">
        <f>AD19/Y19-1</f>
        <v>0.12492365271406469</v>
      </c>
      <c r="AE20" s="164">
        <f>AE19/Z19-1</f>
        <v>0.18277457680352627</v>
      </c>
      <c r="AF20" s="164"/>
      <c r="AG20" s="164"/>
      <c r="AH20" s="160"/>
      <c r="AI20" s="160"/>
      <c r="AJ20" s="160"/>
    </row>
    <row r="21" spans="2:36" x14ac:dyDescent="0.2">
      <c r="B21" s="118" t="s">
        <v>206</v>
      </c>
      <c r="C21" s="94"/>
      <c r="E21" s="96"/>
      <c r="F21" s="96"/>
      <c r="G21" s="96"/>
      <c r="H21" s="96"/>
      <c r="I21" s="164">
        <f>I19/I$10</f>
        <v>0.33079017873685035</v>
      </c>
      <c r="J21" s="164" t="e">
        <f t="shared" ref="J21:AB21" si="11">J19/J$10</f>
        <v>#DIV/0!</v>
      </c>
      <c r="K21" s="164" t="e">
        <f t="shared" si="11"/>
        <v>#DIV/0!</v>
      </c>
      <c r="L21" s="164" t="e">
        <f t="shared" si="11"/>
        <v>#DIV/0!</v>
      </c>
      <c r="M21" s="164" t="e">
        <f t="shared" si="11"/>
        <v>#DIV/0!</v>
      </c>
      <c r="N21" s="164">
        <f t="shared" si="11"/>
        <v>0.32295475379112576</v>
      </c>
      <c r="O21" s="164" t="e">
        <f t="shared" si="11"/>
        <v>#DIV/0!</v>
      </c>
      <c r="P21" s="164" t="e">
        <f t="shared" si="11"/>
        <v>#DIV/0!</v>
      </c>
      <c r="Q21" s="164" t="e">
        <f t="shared" si="11"/>
        <v>#DIV/0!</v>
      </c>
      <c r="R21" s="164" t="e">
        <f t="shared" si="11"/>
        <v>#DIV/0!</v>
      </c>
      <c r="S21" s="164">
        <f t="shared" si="11"/>
        <v>0.30589801778467141</v>
      </c>
      <c r="T21" s="164">
        <f t="shared" si="11"/>
        <v>0.31027661430935011</v>
      </c>
      <c r="U21" s="164">
        <f t="shared" si="11"/>
        <v>0.30448476261431257</v>
      </c>
      <c r="V21" s="164">
        <f t="shared" si="11"/>
        <v>0.29841791750650287</v>
      </c>
      <c r="W21" s="164">
        <f t="shared" si="11"/>
        <v>0.29297041776135824</v>
      </c>
      <c r="X21" s="164">
        <f t="shared" si="11"/>
        <v>0.30137230776642765</v>
      </c>
      <c r="Y21" s="164">
        <f t="shared" si="11"/>
        <v>0.29239417710189225</v>
      </c>
      <c r="Z21" s="164">
        <f t="shared" si="11"/>
        <v>0.29372662091354346</v>
      </c>
      <c r="AA21" s="164">
        <f t="shared" si="11"/>
        <v>0.29700705678274786</v>
      </c>
      <c r="AB21" s="164">
        <f t="shared" si="11"/>
        <v>0.29692368220258153</v>
      </c>
      <c r="AC21" s="164">
        <f>AC19/AC$10</f>
        <v>0.29504331039322812</v>
      </c>
      <c r="AD21" s="164">
        <f>AD19/AD$10</f>
        <v>0.28834930758503069</v>
      </c>
      <c r="AE21" s="164"/>
      <c r="AF21" s="164"/>
      <c r="AG21" s="164"/>
      <c r="AH21" s="160"/>
      <c r="AI21" s="160"/>
      <c r="AJ21" s="160"/>
    </row>
    <row r="22" spans="2:36" x14ac:dyDescent="0.2">
      <c r="B22" t="s">
        <v>50</v>
      </c>
      <c r="C22" s="94"/>
      <c r="E22" s="96"/>
      <c r="F22" s="96"/>
      <c r="G22" s="96"/>
      <c r="H22" s="96"/>
      <c r="I22" s="157">
        <v>1472060</v>
      </c>
      <c r="J22" s="158"/>
      <c r="K22" s="158"/>
      <c r="L22" s="158"/>
      <c r="M22" s="158"/>
      <c r="N22" s="157">
        <v>1593013</v>
      </c>
      <c r="O22" s="158"/>
      <c r="P22" s="158"/>
      <c r="Q22" s="158"/>
      <c r="R22" s="158"/>
      <c r="S22" s="157">
        <v>1917761</v>
      </c>
      <c r="T22" s="158">
        <v>531940</v>
      </c>
      <c r="U22" s="158">
        <v>549926</v>
      </c>
      <c r="V22" s="158">
        <v>557178</v>
      </c>
      <c r="W22" s="158">
        <f>X22-V22-U22-T22</f>
        <v>558914</v>
      </c>
      <c r="X22" s="157">
        <v>2197958</v>
      </c>
      <c r="Y22" s="158">
        <v>583794</v>
      </c>
      <c r="Z22" s="158">
        <v>611678</v>
      </c>
      <c r="AA22" s="158">
        <v>616282</v>
      </c>
      <c r="AB22" s="158">
        <f>AC22-AA22-Z22-Y22</f>
        <v>629228</v>
      </c>
      <c r="AC22" s="157">
        <v>2440982</v>
      </c>
      <c r="AD22" s="158">
        <v>659450</v>
      </c>
      <c r="AE22" s="158">
        <v>716627</v>
      </c>
      <c r="AF22" s="158"/>
      <c r="AG22" s="158"/>
      <c r="AH22" s="160"/>
      <c r="AI22" s="160"/>
      <c r="AJ22" s="160"/>
    </row>
    <row r="23" spans="2:36" x14ac:dyDescent="0.2">
      <c r="B23" s="118" t="s">
        <v>204</v>
      </c>
      <c r="C23" s="94"/>
      <c r="E23" s="96"/>
      <c r="F23" s="96"/>
      <c r="G23" s="96"/>
      <c r="H23" s="96"/>
      <c r="I23" s="162" t="s">
        <v>132</v>
      </c>
      <c r="J23" s="163"/>
      <c r="K23" s="163"/>
      <c r="L23" s="163"/>
      <c r="M23" s="163"/>
      <c r="N23" s="164">
        <f>N22/I22-1</f>
        <v>8.2165808458894318E-2</v>
      </c>
      <c r="O23" s="164" t="e">
        <f t="shared" ref="O23" si="12">O22/J22-1</f>
        <v>#DIV/0!</v>
      </c>
      <c r="P23" s="164" t="e">
        <f t="shared" ref="P23" si="13">P22/K22-1</f>
        <v>#DIV/0!</v>
      </c>
      <c r="Q23" s="164" t="e">
        <f t="shared" ref="Q23" si="14">Q22/L22-1</f>
        <v>#DIV/0!</v>
      </c>
      <c r="R23" s="164" t="e">
        <f t="shared" ref="R23" si="15">R22/M22-1</f>
        <v>#DIV/0!</v>
      </c>
      <c r="S23" s="164">
        <f t="shared" ref="S23" si="16">S22/N22-1</f>
        <v>0.20385772118620493</v>
      </c>
      <c r="T23" s="164" t="e">
        <f t="shared" ref="T23" si="17">T22/O22-1</f>
        <v>#DIV/0!</v>
      </c>
      <c r="U23" s="164" t="e">
        <f t="shared" ref="U23" si="18">U22/P22-1</f>
        <v>#DIV/0!</v>
      </c>
      <c r="V23" s="164" t="e">
        <f t="shared" ref="V23" si="19">V22/Q22-1</f>
        <v>#DIV/0!</v>
      </c>
      <c r="W23" s="164" t="e">
        <f t="shared" ref="W23" si="20">W22/R22-1</f>
        <v>#DIV/0!</v>
      </c>
      <c r="X23" s="164">
        <f t="shared" ref="X23" si="21">X22/S22-1</f>
        <v>0.14610631877486302</v>
      </c>
      <c r="Y23" s="164">
        <f t="shared" ref="Y23" si="22">Y22/T22-1</f>
        <v>9.7480918900627822E-2</v>
      </c>
      <c r="Z23" s="164">
        <f t="shared" ref="Z23" si="23">Z22/U22-1</f>
        <v>0.11229147194349776</v>
      </c>
      <c r="AA23" s="164">
        <f t="shared" ref="AA23" si="24">AA22/V22-1</f>
        <v>0.10607741152737549</v>
      </c>
      <c r="AB23" s="164">
        <f t="shared" ref="AB23" si="25">AB22/W22-1</f>
        <v>0.12580468551512403</v>
      </c>
      <c r="AC23" s="164">
        <f t="shared" ref="AC23" si="26">AC22/X22-1</f>
        <v>0.11056808182867917</v>
      </c>
      <c r="AD23" s="164">
        <f t="shared" ref="AD23" si="27">AD22/Y22-1</f>
        <v>0.12959365803691036</v>
      </c>
      <c r="AE23" s="164">
        <f>AE22/Z22-1</f>
        <v>0.17157556753716818</v>
      </c>
      <c r="AF23" s="164"/>
      <c r="AG23" s="164"/>
      <c r="AH23" s="160"/>
      <c r="AI23" s="160"/>
      <c r="AJ23" s="160"/>
    </row>
    <row r="24" spans="2:36" x14ac:dyDescent="0.2">
      <c r="B24" s="118" t="s">
        <v>206</v>
      </c>
      <c r="C24" s="94"/>
      <c r="E24" s="96"/>
      <c r="F24" s="96"/>
      <c r="G24" s="96"/>
      <c r="H24" s="96"/>
      <c r="I24" s="164">
        <f>I22/I$10</f>
        <v>0.26350926693170468</v>
      </c>
      <c r="J24" s="164" t="e">
        <f t="shared" ref="J24:AB24" si="28">J22/J$10</f>
        <v>#DIV/0!</v>
      </c>
      <c r="K24" s="164" t="e">
        <f t="shared" si="28"/>
        <v>#DIV/0!</v>
      </c>
      <c r="L24" s="164" t="e">
        <f t="shared" si="28"/>
        <v>#DIV/0!</v>
      </c>
      <c r="M24" s="164" t="e">
        <f t="shared" si="28"/>
        <v>#DIV/0!</v>
      </c>
      <c r="N24" s="164">
        <f t="shared" si="28"/>
        <v>0.26618386354119566</v>
      </c>
      <c r="O24" s="164" t="e">
        <f t="shared" si="28"/>
        <v>#DIV/0!</v>
      </c>
      <c r="P24" s="164" t="e">
        <f t="shared" si="28"/>
        <v>#DIV/0!</v>
      </c>
      <c r="Q24" s="164" t="e">
        <f t="shared" si="28"/>
        <v>#DIV/0!</v>
      </c>
      <c r="R24" s="164" t="e">
        <f t="shared" si="28"/>
        <v>#DIV/0!</v>
      </c>
      <c r="S24" s="164">
        <f t="shared" si="28"/>
        <v>0.25410699608761611</v>
      </c>
      <c r="T24" s="164">
        <f t="shared" si="28"/>
        <v>0.26326638585050821</v>
      </c>
      <c r="U24" s="164">
        <f t="shared" si="28"/>
        <v>0.24845990605144536</v>
      </c>
      <c r="V24" s="164">
        <f t="shared" si="28"/>
        <v>0.25096129809587081</v>
      </c>
      <c r="W24" s="164">
        <f t="shared" si="28"/>
        <v>0.25631214175554518</v>
      </c>
      <c r="X24" s="164">
        <f t="shared" si="28"/>
        <v>0.25455084929884841</v>
      </c>
      <c r="Y24" s="164">
        <f t="shared" si="28"/>
        <v>0.24647425883862906</v>
      </c>
      <c r="Z24" s="164">
        <f t="shared" si="28"/>
        <v>0.24323117415652371</v>
      </c>
      <c r="AA24" s="164">
        <f t="shared" si="28"/>
        <v>0.24931026057182432</v>
      </c>
      <c r="AB24" s="164">
        <f t="shared" si="28"/>
        <v>0.25005881604883323</v>
      </c>
      <c r="AC24" s="164">
        <f>AC22/AC$10</f>
        <v>0.247271960338136</v>
      </c>
      <c r="AD24" s="164">
        <f t="shared" ref="AD24:AE24" si="29">AD22/AD$10</f>
        <v>0.24407368586241712</v>
      </c>
      <c r="AE24" s="164">
        <f t="shared" si="29"/>
        <v>0.24103558655781121</v>
      </c>
      <c r="AF24" s="164"/>
      <c r="AG24" s="164"/>
      <c r="AH24" s="160"/>
      <c r="AI24" s="160"/>
      <c r="AJ24" s="160"/>
    </row>
    <row r="25" spans="2:36" x14ac:dyDescent="0.2">
      <c r="B25" t="s">
        <v>49</v>
      </c>
      <c r="C25" s="94"/>
      <c r="E25" s="96"/>
      <c r="F25" s="96"/>
      <c r="G25" s="96"/>
      <c r="H25" s="96"/>
      <c r="I25" s="157">
        <v>363072</v>
      </c>
      <c r="J25" s="158"/>
      <c r="K25" s="158"/>
      <c r="L25" s="158"/>
      <c r="M25" s="158"/>
      <c r="N25" s="157">
        <v>387762</v>
      </c>
      <c r="O25" s="158"/>
      <c r="P25" s="158"/>
      <c r="Q25" s="158"/>
      <c r="R25" s="158"/>
      <c r="S25" s="157">
        <v>416606</v>
      </c>
      <c r="T25" s="158">
        <v>112032</v>
      </c>
      <c r="U25" s="158">
        <v>113919</v>
      </c>
      <c r="V25" s="158">
        <v>115826</v>
      </c>
      <c r="W25" s="158">
        <f>X25-V25-U25-T25</f>
        <v>118648</v>
      </c>
      <c r="X25" s="157">
        <v>460425</v>
      </c>
      <c r="Y25" s="158">
        <v>121931</v>
      </c>
      <c r="Z25" s="158">
        <v>123897</v>
      </c>
      <c r="AA25" s="158">
        <v>126269</v>
      </c>
      <c r="AB25" s="158">
        <f>AC25-AA25-Z25-Y25</f>
        <v>131167</v>
      </c>
      <c r="AC25" s="157">
        <v>503264</v>
      </c>
      <c r="AD25" s="158">
        <v>135699</v>
      </c>
      <c r="AE25" s="158">
        <v>138663</v>
      </c>
      <c r="AF25" s="158"/>
      <c r="AG25" s="158"/>
      <c r="AH25" s="160"/>
      <c r="AI25" s="160"/>
      <c r="AJ25" s="160"/>
    </row>
    <row r="26" spans="2:36" x14ac:dyDescent="0.2">
      <c r="B26" s="118" t="s">
        <v>204</v>
      </c>
      <c r="C26" s="94"/>
      <c r="E26" s="96"/>
      <c r="F26" s="96"/>
      <c r="G26" s="96"/>
      <c r="H26" s="96"/>
      <c r="I26" s="162" t="s">
        <v>132</v>
      </c>
      <c r="J26" s="163"/>
      <c r="K26" s="163"/>
      <c r="L26" s="163"/>
      <c r="M26" s="163"/>
      <c r="N26" s="164">
        <f>N25/I25-1</f>
        <v>6.8003040719196273E-2</v>
      </c>
      <c r="O26" s="164" t="e">
        <f t="shared" ref="O26" si="30">O25/J25-1</f>
        <v>#DIV/0!</v>
      </c>
      <c r="P26" s="164" t="e">
        <f t="shared" ref="P26" si="31">P25/K25-1</f>
        <v>#DIV/0!</v>
      </c>
      <c r="Q26" s="164" t="e">
        <f t="shared" ref="Q26" si="32">Q25/L25-1</f>
        <v>#DIV/0!</v>
      </c>
      <c r="R26" s="164" t="e">
        <f t="shared" ref="R26" si="33">R25/M25-1</f>
        <v>#DIV/0!</v>
      </c>
      <c r="S26" s="164">
        <f t="shared" ref="S26" si="34">S25/N25-1</f>
        <v>7.4385834609889567E-2</v>
      </c>
      <c r="T26" s="164" t="e">
        <f t="shared" ref="T26" si="35">T25/O25-1</f>
        <v>#DIV/0!</v>
      </c>
      <c r="U26" s="164" t="e">
        <f t="shared" ref="U26" si="36">U25/P25-1</f>
        <v>#DIV/0!</v>
      </c>
      <c r="V26" s="164" t="e">
        <f t="shared" ref="V26" si="37">V25/Q25-1</f>
        <v>#DIV/0!</v>
      </c>
      <c r="W26" s="164" t="e">
        <f t="shared" ref="W26" si="38">W25/R25-1</f>
        <v>#DIV/0!</v>
      </c>
      <c r="X26" s="164">
        <f t="shared" ref="X26" si="39">X25/S25-1</f>
        <v>0.10518091434112797</v>
      </c>
      <c r="Y26" s="164">
        <f t="shared" ref="Y26" si="40">Y25/T25-1</f>
        <v>8.8358683233361823E-2</v>
      </c>
      <c r="Z26" s="164">
        <f t="shared" ref="Z26" si="41">Z25/U25-1</f>
        <v>8.7588549759039402E-2</v>
      </c>
      <c r="AA26" s="164">
        <f t="shared" ref="AA26" si="42">AA25/V25-1</f>
        <v>9.0161103724552438E-2</v>
      </c>
      <c r="AB26" s="164">
        <f t="shared" ref="AB26" si="43">AB25/W25-1</f>
        <v>0.10551378868586059</v>
      </c>
      <c r="AC26" s="164">
        <f t="shared" ref="AC26" si="44">AC25/X25-1</f>
        <v>9.304229787696161E-2</v>
      </c>
      <c r="AD26" s="164">
        <f t="shared" ref="AD26" si="45">AD25/Y25-1</f>
        <v>0.11291632152610909</v>
      </c>
      <c r="AE26" s="164">
        <f>AE25/Z25-1</f>
        <v>0.11917964115353885</v>
      </c>
      <c r="AF26" s="164"/>
      <c r="AG26" s="164"/>
      <c r="AH26" s="160"/>
      <c r="AI26" s="160"/>
      <c r="AJ26" s="160"/>
    </row>
    <row r="27" spans="2:36" x14ac:dyDescent="0.2">
      <c r="B27" s="118" t="s">
        <v>206</v>
      </c>
      <c r="C27" s="94"/>
      <c r="E27" s="96"/>
      <c r="F27" s="96"/>
      <c r="G27" s="96"/>
      <c r="H27" s="96"/>
      <c r="I27" s="164">
        <f>I25/I$10</f>
        <v>6.4992484384758686E-2</v>
      </c>
      <c r="J27" s="164" t="e">
        <f t="shared" ref="J27:AB27" si="46">J25/J$10</f>
        <v>#DIV/0!</v>
      </c>
      <c r="K27" s="164" t="e">
        <f t="shared" si="46"/>
        <v>#DIV/0!</v>
      </c>
      <c r="L27" s="164" t="e">
        <f t="shared" si="46"/>
        <v>#DIV/0!</v>
      </c>
      <c r="M27" s="164" t="e">
        <f t="shared" si="46"/>
        <v>#DIV/0!</v>
      </c>
      <c r="N27" s="164">
        <f t="shared" si="46"/>
        <v>6.4792934705781513E-2</v>
      </c>
      <c r="O27" s="164" t="e">
        <f t="shared" si="46"/>
        <v>#DIV/0!</v>
      </c>
      <c r="P27" s="164" t="e">
        <f t="shared" si="46"/>
        <v>#DIV/0!</v>
      </c>
      <c r="Q27" s="164" t="e">
        <f t="shared" si="46"/>
        <v>#DIV/0!</v>
      </c>
      <c r="R27" s="164" t="e">
        <f t="shared" si="46"/>
        <v>#DIV/0!</v>
      </c>
      <c r="S27" s="164">
        <f t="shared" si="46"/>
        <v>5.5201090861727496E-2</v>
      </c>
      <c r="T27" s="164">
        <f t="shared" si="46"/>
        <v>5.5446591231349658E-2</v>
      </c>
      <c r="U27" s="164">
        <f t="shared" si="46"/>
        <v>5.1469295937043531E-2</v>
      </c>
      <c r="V27" s="164">
        <f t="shared" si="46"/>
        <v>5.2169761392683006E-2</v>
      </c>
      <c r="W27" s="164">
        <f t="shared" si="46"/>
        <v>5.4410737600081444E-2</v>
      </c>
      <c r="X27" s="164">
        <f t="shared" si="46"/>
        <v>5.332293646576608E-2</v>
      </c>
      <c r="Y27" s="164">
        <f t="shared" si="46"/>
        <v>5.1478522996901095E-2</v>
      </c>
      <c r="Z27" s="164">
        <f t="shared" si="46"/>
        <v>4.9267118948974495E-2</v>
      </c>
      <c r="AA27" s="164">
        <f t="shared" si="46"/>
        <v>5.1080767071151979E-2</v>
      </c>
      <c r="AB27" s="164">
        <f t="shared" si="46"/>
        <v>5.2126518089909077E-2</v>
      </c>
      <c r="AC27" s="164">
        <f>AC25/AC$10</f>
        <v>5.09807429336274E-2</v>
      </c>
      <c r="AD27" s="164">
        <f t="shared" ref="AD27" si="47">AD25/AD$10</f>
        <v>5.0224512999991117E-2</v>
      </c>
      <c r="AE27" s="164"/>
      <c r="AF27" s="164"/>
      <c r="AG27" s="164"/>
      <c r="AH27" s="160"/>
      <c r="AI27" s="160"/>
      <c r="AJ27" s="160"/>
    </row>
    <row r="28" spans="2:36" x14ac:dyDescent="0.2">
      <c r="B28" t="s">
        <v>48</v>
      </c>
      <c r="C28" s="94"/>
      <c r="E28" s="96"/>
      <c r="F28" s="96"/>
      <c r="G28" s="96"/>
      <c r="H28" s="96"/>
      <c r="I28" s="157">
        <v>760831</v>
      </c>
      <c r="J28" s="158"/>
      <c r="K28" s="158"/>
      <c r="L28" s="158"/>
      <c r="M28" s="158"/>
      <c r="N28" s="157">
        <v>1030012</v>
      </c>
      <c r="O28" s="158"/>
      <c r="P28" s="158"/>
      <c r="Q28" s="158"/>
      <c r="R28" s="158"/>
      <c r="S28" s="157">
        <v>1197054</v>
      </c>
      <c r="T28" s="158">
        <v>330695</v>
      </c>
      <c r="U28" s="158">
        <v>317481</v>
      </c>
      <c r="V28" s="158">
        <v>322085</v>
      </c>
      <c r="W28" s="158">
        <f>X28-V28-U28-T28</f>
        <v>341644</v>
      </c>
      <c r="X28" s="157">
        <v>1311905</v>
      </c>
      <c r="Y28" s="158">
        <v>363206</v>
      </c>
      <c r="Z28" s="158">
        <v>349707</v>
      </c>
      <c r="AA28" s="158">
        <v>345368</v>
      </c>
      <c r="AB28" s="158">
        <f>AC28-AA28-Z28-Y28</f>
        <v>370466</v>
      </c>
      <c r="AC28" s="157">
        <v>1428747</v>
      </c>
      <c r="AD28" s="158">
        <v>385773</v>
      </c>
      <c r="AE28" s="158">
        <v>384754</v>
      </c>
      <c r="AF28" s="158"/>
      <c r="AG28" s="158"/>
      <c r="AH28" s="160"/>
      <c r="AI28" s="160"/>
      <c r="AJ28" s="160"/>
    </row>
    <row r="29" spans="2:36" x14ac:dyDescent="0.2">
      <c r="B29" s="118" t="s">
        <v>204</v>
      </c>
      <c r="C29" s="94"/>
      <c r="E29" s="96"/>
      <c r="F29" s="96"/>
      <c r="G29" s="96"/>
      <c r="H29" s="96"/>
      <c r="I29" s="162" t="s">
        <v>132</v>
      </c>
      <c r="J29" s="163"/>
      <c r="K29" s="163"/>
      <c r="L29" s="163"/>
      <c r="M29" s="163"/>
      <c r="N29" s="164">
        <f>N28/I28-1</f>
        <v>0.35379867539571852</v>
      </c>
      <c r="O29" s="164" t="e">
        <f t="shared" ref="O29" si="48">O28/J28-1</f>
        <v>#DIV/0!</v>
      </c>
      <c r="P29" s="164" t="e">
        <f t="shared" ref="P29" si="49">P28/K28-1</f>
        <v>#DIV/0!</v>
      </c>
      <c r="Q29" s="164" t="e">
        <f t="shared" ref="Q29" si="50">Q28/L28-1</f>
        <v>#DIV/0!</v>
      </c>
      <c r="R29" s="164" t="e">
        <f t="shared" ref="R29" si="51">R28/M28-1</f>
        <v>#DIV/0!</v>
      </c>
      <c r="S29" s="164">
        <f t="shared" ref="S29" si="52">S28/N28-1</f>
        <v>0.16217480961386865</v>
      </c>
      <c r="T29" s="164" t="e">
        <f t="shared" ref="T29" si="53">T28/O28-1</f>
        <v>#DIV/0!</v>
      </c>
      <c r="U29" s="164" t="e">
        <f t="shared" ref="U29" si="54">U28/P28-1</f>
        <v>#DIV/0!</v>
      </c>
      <c r="V29" s="164" t="e">
        <f t="shared" ref="V29" si="55">V28/Q28-1</f>
        <v>#DIV/0!</v>
      </c>
      <c r="W29" s="164" t="e">
        <f t="shared" ref="W29" si="56">W28/R28-1</f>
        <v>#DIV/0!</v>
      </c>
      <c r="X29" s="164">
        <f t="shared" ref="X29" si="57">X28/S28-1</f>
        <v>9.5944710932004629E-2</v>
      </c>
      <c r="Y29" s="164">
        <f t="shared" ref="Y29" si="58">Y28/T28-1</f>
        <v>9.8311132614644858E-2</v>
      </c>
      <c r="Z29" s="164">
        <f t="shared" ref="Z29" si="59">Z28/U28-1</f>
        <v>0.10150528693055638</v>
      </c>
      <c r="AA29" s="164">
        <f t="shared" ref="AA29" si="60">AA28/V28-1</f>
        <v>7.2288371082167791E-2</v>
      </c>
      <c r="AB29" s="164">
        <f t="shared" ref="AB29" si="61">AB28/W28-1</f>
        <v>8.4362669913711441E-2</v>
      </c>
      <c r="AC29" s="164">
        <f t="shared" ref="AC29" si="62">AC28/X28-1</f>
        <v>8.9062851349754668E-2</v>
      </c>
      <c r="AD29" s="164">
        <f t="shared" ref="AD29" si="63">AD28/Y28-1</f>
        <v>6.2132784150041642E-2</v>
      </c>
      <c r="AE29" s="164">
        <f>AE28/Z28-1</f>
        <v>0.10021818265004701</v>
      </c>
      <c r="AF29" s="164"/>
      <c r="AG29" s="164"/>
      <c r="AH29" s="160"/>
      <c r="AI29" s="160"/>
      <c r="AJ29" s="160"/>
    </row>
    <row r="30" spans="2:36" x14ac:dyDescent="0.2">
      <c r="B30" s="118" t="s">
        <v>206</v>
      </c>
      <c r="C30" s="94"/>
      <c r="E30" s="96"/>
      <c r="F30" s="96"/>
      <c r="G30" s="96"/>
      <c r="H30" s="96"/>
      <c r="I30" s="164">
        <f>I28/I$10</f>
        <v>0.13619418982168918</v>
      </c>
      <c r="J30" s="164" t="e">
        <f t="shared" ref="J30:AB30" si="64">J28/J$10</f>
        <v>#DIV/0!</v>
      </c>
      <c r="K30" s="164" t="e">
        <f t="shared" si="64"/>
        <v>#DIV/0!</v>
      </c>
      <c r="L30" s="164" t="e">
        <f t="shared" si="64"/>
        <v>#DIV/0!</v>
      </c>
      <c r="M30" s="164" t="e">
        <f t="shared" si="64"/>
        <v>#DIV/0!</v>
      </c>
      <c r="N30" s="164">
        <f t="shared" si="64"/>
        <v>0.17210943893979147</v>
      </c>
      <c r="O30" s="164" t="e">
        <f t="shared" si="64"/>
        <v>#DIV/0!</v>
      </c>
      <c r="P30" s="164" t="e">
        <f t="shared" si="64"/>
        <v>#DIV/0!</v>
      </c>
      <c r="Q30" s="164" t="e">
        <f t="shared" si="64"/>
        <v>#DIV/0!</v>
      </c>
      <c r="R30" s="164" t="e">
        <f t="shared" si="64"/>
        <v>#DIV/0!</v>
      </c>
      <c r="S30" s="164">
        <f t="shared" si="64"/>
        <v>0.15861194178767071</v>
      </c>
      <c r="T30" s="164">
        <f t="shared" si="64"/>
        <v>0.16366672457200776</v>
      </c>
      <c r="U30" s="164">
        <f t="shared" si="64"/>
        <v>0.14343984360281006</v>
      </c>
      <c r="V30" s="164">
        <f t="shared" si="64"/>
        <v>0.14507189748555857</v>
      </c>
      <c r="W30" s="164">
        <f t="shared" si="64"/>
        <v>0.15667438167219191</v>
      </c>
      <c r="X30" s="164">
        <f t="shared" si="64"/>
        <v>0.15193490137182136</v>
      </c>
      <c r="Y30" s="164">
        <f t="shared" si="64"/>
        <v>0.15334335340161614</v>
      </c>
      <c r="Z30" s="164">
        <f t="shared" si="64"/>
        <v>0.13905951206477171</v>
      </c>
      <c r="AA30" s="164">
        <f t="shared" si="64"/>
        <v>0.13971491309687745</v>
      </c>
      <c r="AB30" s="164">
        <f t="shared" si="64"/>
        <v>0.14722531315571946</v>
      </c>
      <c r="AC30" s="164">
        <f>AC28/AC$10</f>
        <v>0.1447323542399046</v>
      </c>
      <c r="AD30" s="164">
        <f t="shared" ref="AD30" si="65">AD28/AD$10</f>
        <v>0.14278116311502351</v>
      </c>
      <c r="AE30" s="164"/>
      <c r="AF30" s="164"/>
      <c r="AG30" s="164"/>
      <c r="AH30" s="160"/>
      <c r="AI30" s="160"/>
      <c r="AJ30" s="160"/>
    </row>
    <row r="31" spans="2:36" x14ac:dyDescent="0.2">
      <c r="B31" t="s">
        <v>46</v>
      </c>
      <c r="C31" s="94"/>
      <c r="E31" s="96"/>
      <c r="F31" s="96"/>
      <c r="G31" s="96"/>
      <c r="H31" s="96"/>
      <c r="I31" s="157">
        <v>212778</v>
      </c>
      <c r="J31" s="158"/>
      <c r="K31" s="158"/>
      <c r="L31" s="158"/>
      <c r="M31" s="158"/>
      <c r="N31" s="157">
        <v>238534</v>
      </c>
      <c r="O31" s="158"/>
      <c r="P31" s="158"/>
      <c r="Q31" s="158"/>
      <c r="R31" s="158"/>
      <c r="S31" s="157">
        <v>254657</v>
      </c>
      <c r="T31" s="158">
        <v>71665</v>
      </c>
      <c r="U31" s="158">
        <v>69733</v>
      </c>
      <c r="V31" s="158">
        <v>71416</v>
      </c>
      <c r="W31" s="158">
        <f>X31-V31-U31-T31</f>
        <v>74012</v>
      </c>
      <c r="X31" s="157">
        <v>286826</v>
      </c>
      <c r="Y31" s="158">
        <v>76585</v>
      </c>
      <c r="Z31" s="158">
        <v>78771</v>
      </c>
      <c r="AA31" s="158">
        <v>78546</v>
      </c>
      <c r="AB31" s="158">
        <f>AC31-AA31-Z31-Y31</f>
        <v>85492</v>
      </c>
      <c r="AC31" s="157">
        <v>319394</v>
      </c>
      <c r="AD31" s="158">
        <v>83243</v>
      </c>
      <c r="AE31" s="158">
        <v>83562</v>
      </c>
      <c r="AF31" s="158"/>
      <c r="AG31" s="158"/>
      <c r="AH31" s="160"/>
      <c r="AI31" s="160"/>
      <c r="AJ31" s="160"/>
    </row>
    <row r="32" spans="2:36" x14ac:dyDescent="0.2">
      <c r="B32" s="118" t="s">
        <v>204</v>
      </c>
      <c r="I32" s="162" t="s">
        <v>132</v>
      </c>
      <c r="J32" s="163"/>
      <c r="K32" s="163"/>
      <c r="L32" s="163"/>
      <c r="M32" s="163"/>
      <c r="N32" s="164">
        <f>N31/I31-1</f>
        <v>0.12104634877665932</v>
      </c>
      <c r="O32" s="164" t="e">
        <f t="shared" ref="O32" si="66">O31/J31-1</f>
        <v>#DIV/0!</v>
      </c>
      <c r="P32" s="164" t="e">
        <f t="shared" ref="P32" si="67">P31/K31-1</f>
        <v>#DIV/0!</v>
      </c>
      <c r="Q32" s="164" t="e">
        <f t="shared" ref="Q32" si="68">Q31/L31-1</f>
        <v>#DIV/0!</v>
      </c>
      <c r="R32" s="164" t="e">
        <f t="shared" ref="R32" si="69">R31/M31-1</f>
        <v>#DIV/0!</v>
      </c>
      <c r="S32" s="164">
        <f t="shared" ref="S32" si="70">S31/N31-1</f>
        <v>6.7592041386133728E-2</v>
      </c>
      <c r="T32" s="164" t="e">
        <f t="shared" ref="T32" si="71">T31/O31-1</f>
        <v>#DIV/0!</v>
      </c>
      <c r="U32" s="164" t="e">
        <f t="shared" ref="U32" si="72">U31/P31-1</f>
        <v>#DIV/0!</v>
      </c>
      <c r="V32" s="164" t="e">
        <f t="shared" ref="V32" si="73">V31/Q31-1</f>
        <v>#DIV/0!</v>
      </c>
      <c r="W32" s="164" t="e">
        <f t="shared" ref="W32" si="74">W31/R31-1</f>
        <v>#DIV/0!</v>
      </c>
      <c r="X32" s="164">
        <f t="shared" ref="X32" si="75">X31/S31-1</f>
        <v>0.12632285780481189</v>
      </c>
      <c r="Y32" s="164">
        <f t="shared" ref="Y32" si="76">Y31/T31-1</f>
        <v>6.8652759366496952E-2</v>
      </c>
      <c r="Z32" s="164">
        <f t="shared" ref="Z32" si="77">Z31/U31-1</f>
        <v>0.12960865013695089</v>
      </c>
      <c r="AA32" s="164">
        <f t="shared" ref="AA32" si="78">AA31/V31-1</f>
        <v>9.9837571412568549E-2</v>
      </c>
      <c r="AB32" s="164">
        <f t="shared" ref="AB32" si="79">AB31/W31-1</f>
        <v>0.15510998216505434</v>
      </c>
      <c r="AC32" s="164">
        <f t="shared" ref="AC32" si="80">AC31/X31-1</f>
        <v>0.11354619176783132</v>
      </c>
      <c r="AD32" s="164">
        <f t="shared" ref="AD32" si="81">AD31/Y31-1</f>
        <v>8.6936084089573651E-2</v>
      </c>
      <c r="AE32" s="164">
        <f>AE31/Z31-1</f>
        <v>6.0821876071142977E-2</v>
      </c>
      <c r="AF32" s="164"/>
      <c r="AG32" s="164"/>
      <c r="AH32" s="160"/>
      <c r="AI32" s="160"/>
      <c r="AJ32" s="160"/>
    </row>
    <row r="33" spans="2:36" x14ac:dyDescent="0.2">
      <c r="B33" s="118" t="s">
        <v>206</v>
      </c>
      <c r="C33" s="94"/>
      <c r="E33" s="96"/>
      <c r="F33" s="96"/>
      <c r="G33" s="96"/>
      <c r="H33" s="96"/>
      <c r="I33" s="164">
        <f>I31/I$10</f>
        <v>3.8088783608816387E-2</v>
      </c>
      <c r="J33" s="164" t="e">
        <f t="shared" ref="J33:AB33" si="82">J31/J$10</f>
        <v>#DIV/0!</v>
      </c>
      <c r="K33" s="164" t="e">
        <f t="shared" si="82"/>
        <v>#DIV/0!</v>
      </c>
      <c r="L33" s="164" t="e">
        <f t="shared" si="82"/>
        <v>#DIV/0!</v>
      </c>
      <c r="M33" s="164" t="e">
        <f t="shared" si="82"/>
        <v>#DIV/0!</v>
      </c>
      <c r="N33" s="164">
        <f t="shared" si="82"/>
        <v>3.9857742344811729E-2</v>
      </c>
      <c r="O33" s="164" t="e">
        <f t="shared" si="82"/>
        <v>#DIV/0!</v>
      </c>
      <c r="P33" s="164" t="e">
        <f t="shared" si="82"/>
        <v>#DIV/0!</v>
      </c>
      <c r="Q33" s="164" t="e">
        <f t="shared" si="82"/>
        <v>#DIV/0!</v>
      </c>
      <c r="R33" s="164" t="e">
        <f t="shared" si="82"/>
        <v>#DIV/0!</v>
      </c>
      <c r="S33" s="164">
        <f t="shared" si="82"/>
        <v>3.3742538983055785E-2</v>
      </c>
      <c r="T33" s="164">
        <f t="shared" si="82"/>
        <v>3.5468258717104691E-2</v>
      </c>
      <c r="U33" s="164">
        <f t="shared" si="82"/>
        <v>3.1505792831554497E-2</v>
      </c>
      <c r="V33" s="164">
        <f t="shared" si="82"/>
        <v>3.2166833695542019E-2</v>
      </c>
      <c r="W33" s="164">
        <f t="shared" si="82"/>
        <v>3.394113268877038E-2</v>
      </c>
      <c r="X33" s="164">
        <f t="shared" si="82"/>
        <v>3.3218015039864955E-2</v>
      </c>
      <c r="Y33" s="164">
        <f t="shared" si="82"/>
        <v>3.2333718937084664E-2</v>
      </c>
      <c r="Z33" s="164">
        <f t="shared" si="82"/>
        <v>3.1322955573820754E-2</v>
      </c>
      <c r="AA33" s="164">
        <f t="shared" si="82"/>
        <v>3.1774940249552172E-2</v>
      </c>
      <c r="AB33" s="164">
        <f t="shared" si="82"/>
        <v>3.3975011127360587E-2</v>
      </c>
      <c r="AC33" s="164">
        <f>AC31/AC$10</f>
        <v>3.2354675495451672E-2</v>
      </c>
      <c r="AD33" s="164">
        <f t="shared" ref="AD33" si="83">AD31/AD$10</f>
        <v>3.0809653244742118E-2</v>
      </c>
      <c r="AE33" s="164"/>
      <c r="AF33" s="164"/>
      <c r="AG33" s="164"/>
      <c r="AH33" s="160"/>
      <c r="AI33" s="160"/>
      <c r="AJ33" s="160"/>
    </row>
    <row r="34" spans="2:36" x14ac:dyDescent="0.2">
      <c r="B34" s="11" t="s">
        <v>207</v>
      </c>
      <c r="C34" s="94"/>
      <c r="E34" s="96"/>
      <c r="F34" s="96"/>
      <c r="G34" s="96"/>
      <c r="H34" s="96"/>
      <c r="I34" s="157">
        <f>I19+I22+I25+I28+I31</f>
        <v>4656657</v>
      </c>
      <c r="J34" s="157">
        <f t="shared" ref="J34:AC34" si="84">J19+J22+J25+J28+J31</f>
        <v>0</v>
      </c>
      <c r="K34" s="157">
        <f t="shared" si="84"/>
        <v>0</v>
      </c>
      <c r="L34" s="157">
        <f t="shared" si="84"/>
        <v>0</v>
      </c>
      <c r="M34" s="157">
        <f t="shared" si="84"/>
        <v>0</v>
      </c>
      <c r="N34" s="157">
        <f t="shared" si="84"/>
        <v>5182087</v>
      </c>
      <c r="O34" s="157">
        <f t="shared" si="84"/>
        <v>0</v>
      </c>
      <c r="P34" s="157">
        <f t="shared" si="84"/>
        <v>0</v>
      </c>
      <c r="Q34" s="157">
        <f t="shared" si="84"/>
        <v>0</v>
      </c>
      <c r="R34" s="157">
        <f t="shared" si="84"/>
        <v>0</v>
      </c>
      <c r="S34" s="157">
        <f t="shared" si="84"/>
        <v>6094709</v>
      </c>
      <c r="T34" s="157">
        <f t="shared" si="84"/>
        <v>1673258</v>
      </c>
      <c r="U34" s="157">
        <f t="shared" si="84"/>
        <v>1724987</v>
      </c>
      <c r="V34" s="157">
        <f t="shared" si="84"/>
        <v>1729045</v>
      </c>
      <c r="W34" s="157">
        <f t="shared" si="84"/>
        <v>1732069</v>
      </c>
      <c r="X34" s="157">
        <f t="shared" si="84"/>
        <v>6859359</v>
      </c>
      <c r="Y34" s="157">
        <f>Y19+Y22+Y25+Y28+Y31</f>
        <v>1838075</v>
      </c>
      <c r="Z34" s="157">
        <f t="shared" si="84"/>
        <v>1902717</v>
      </c>
      <c r="AA34" s="157">
        <f t="shared" si="84"/>
        <v>1900651</v>
      </c>
      <c r="AB34" s="157">
        <f t="shared" si="84"/>
        <v>1963508</v>
      </c>
      <c r="AC34" s="157">
        <f t="shared" si="84"/>
        <v>7604951</v>
      </c>
      <c r="AD34" s="157">
        <f>AD19+AD22+AD25+AD28+AD31</f>
        <v>2043241</v>
      </c>
      <c r="AE34" s="157">
        <f>AE19+AE22+AE25+AE28+AE31</f>
        <v>2197279</v>
      </c>
      <c r="AF34" s="157"/>
      <c r="AG34" s="157"/>
      <c r="AH34" s="160"/>
      <c r="AI34" s="160"/>
      <c r="AJ34" s="160"/>
    </row>
    <row r="35" spans="2:36" x14ac:dyDescent="0.2">
      <c r="B35" s="118" t="s">
        <v>204</v>
      </c>
      <c r="C35" s="94"/>
      <c r="E35" s="96"/>
      <c r="F35" s="96"/>
      <c r="G35" s="96"/>
      <c r="H35" s="96"/>
      <c r="I35" s="162" t="s">
        <v>132</v>
      </c>
      <c r="J35" s="163"/>
      <c r="K35" s="163"/>
      <c r="L35" s="163"/>
      <c r="M35" s="163"/>
      <c r="N35" s="164">
        <f>N34/I34-1</f>
        <v>0.1128341640795103</v>
      </c>
      <c r="O35" s="164" t="e">
        <f t="shared" ref="O35" si="85">O34/J34-1</f>
        <v>#DIV/0!</v>
      </c>
      <c r="P35" s="164" t="e">
        <f t="shared" ref="P35" si="86">P34/K34-1</f>
        <v>#DIV/0!</v>
      </c>
      <c r="Q35" s="164" t="e">
        <f t="shared" ref="Q35" si="87">Q34/L34-1</f>
        <v>#DIV/0!</v>
      </c>
      <c r="R35" s="164" t="e">
        <f t="shared" ref="R35" si="88">R34/M34-1</f>
        <v>#DIV/0!</v>
      </c>
      <c r="S35" s="164">
        <f t="shared" ref="S35" si="89">S34/N34-1</f>
        <v>0.17611089894862819</v>
      </c>
      <c r="T35" s="164" t="e">
        <f t="shared" ref="T35" si="90">T34/O34-1</f>
        <v>#DIV/0!</v>
      </c>
      <c r="U35" s="164" t="e">
        <f t="shared" ref="U35" si="91">U34/P34-1</f>
        <v>#DIV/0!</v>
      </c>
      <c r="V35" s="164" t="e">
        <f t="shared" ref="V35" si="92">V34/Q34-1</f>
        <v>#DIV/0!</v>
      </c>
      <c r="W35" s="164" t="e">
        <f t="shared" ref="W35" si="93">W34/R34-1</f>
        <v>#DIV/0!</v>
      </c>
      <c r="X35" s="164">
        <f t="shared" ref="X35" si="94">X34/S34-1</f>
        <v>0.12546128125231237</v>
      </c>
      <c r="Y35" s="164">
        <f t="shared" ref="Y35" si="95">Y34/T34-1</f>
        <v>9.8500649630840043E-2</v>
      </c>
      <c r="Z35" s="164">
        <f t="shared" ref="Z35" si="96">Z34/U34-1</f>
        <v>0.10303266053599236</v>
      </c>
      <c r="AA35" s="164">
        <f t="shared" ref="AA35" si="97">AA34/V34-1</f>
        <v>9.9249007400038725E-2</v>
      </c>
      <c r="AB35" s="164">
        <f t="shared" ref="AB35" si="98">AB34/W34-1</f>
        <v>0.13361996548636346</v>
      </c>
      <c r="AC35" s="164">
        <f>AC34/X34-1</f>
        <v>0.10869703714297496</v>
      </c>
      <c r="AD35" s="164">
        <f>AD34/Y34-1</f>
        <v>0.11162003726724978</v>
      </c>
      <c r="AE35" s="164"/>
      <c r="AF35" s="164"/>
      <c r="AG35" s="164"/>
      <c r="AH35" s="240"/>
      <c r="AI35" s="240"/>
      <c r="AJ35" s="240"/>
    </row>
    <row r="36" spans="2:36" s="11" customFormat="1" x14ac:dyDescent="0.2">
      <c r="B36" s="123" t="s">
        <v>208</v>
      </c>
      <c r="C36" s="122"/>
      <c r="D36" s="123"/>
      <c r="E36" s="124"/>
      <c r="F36" s="124"/>
      <c r="G36" s="124"/>
      <c r="H36" s="124"/>
      <c r="I36" s="166">
        <f t="shared" ref="I36:AE36" si="99">I10-I34</f>
        <v>929712</v>
      </c>
      <c r="J36" s="166">
        <f t="shared" si="99"/>
        <v>0</v>
      </c>
      <c r="K36" s="166">
        <f t="shared" si="99"/>
        <v>0</v>
      </c>
      <c r="L36" s="166">
        <f t="shared" si="99"/>
        <v>0</v>
      </c>
      <c r="M36" s="166">
        <f t="shared" si="99"/>
        <v>0</v>
      </c>
      <c r="N36" s="166">
        <f t="shared" si="99"/>
        <v>802547</v>
      </c>
      <c r="O36" s="166">
        <f t="shared" si="99"/>
        <v>0</v>
      </c>
      <c r="P36" s="166">
        <f t="shared" si="99"/>
        <v>0</v>
      </c>
      <c r="Q36" s="166">
        <f t="shared" si="99"/>
        <v>0</v>
      </c>
      <c r="R36" s="166">
        <f t="shared" si="99"/>
        <v>0</v>
      </c>
      <c r="S36" s="166">
        <f t="shared" si="99"/>
        <v>1452352</v>
      </c>
      <c r="T36" s="166">
        <f t="shared" si="99"/>
        <v>347281</v>
      </c>
      <c r="U36" s="166">
        <f t="shared" si="99"/>
        <v>488352</v>
      </c>
      <c r="V36" s="166">
        <f t="shared" si="99"/>
        <v>491130</v>
      </c>
      <c r="W36" s="166">
        <f t="shared" si="99"/>
        <v>448530</v>
      </c>
      <c r="X36" s="166">
        <f t="shared" si="99"/>
        <v>1775293</v>
      </c>
      <c r="Y36" s="166">
        <f t="shared" si="99"/>
        <v>530505</v>
      </c>
      <c r="Z36" s="166">
        <f t="shared" si="99"/>
        <v>612084</v>
      </c>
      <c r="AA36" s="166">
        <f t="shared" si="99"/>
        <v>571297</v>
      </c>
      <c r="AB36" s="166">
        <f t="shared" si="99"/>
        <v>552812</v>
      </c>
      <c r="AC36" s="166">
        <f t="shared" si="99"/>
        <v>2266698</v>
      </c>
      <c r="AD36" s="166">
        <f t="shared" si="99"/>
        <v>658607</v>
      </c>
      <c r="AE36" s="166">
        <f t="shared" si="99"/>
        <v>775838</v>
      </c>
      <c r="AF36" s="166"/>
      <c r="AG36" s="166"/>
      <c r="AH36" s="168">
        <f>AH38*AH$10</f>
        <v>2707023.1634189757</v>
      </c>
      <c r="AI36" s="168">
        <f>AI38*AI$10</f>
        <v>3218474.0073382887</v>
      </c>
      <c r="AJ36" s="168">
        <f>AJ38*AJ$10</f>
        <v>3816235.1428274182</v>
      </c>
    </row>
    <row r="37" spans="2:36" x14ac:dyDescent="0.2">
      <c r="B37" s="118" t="s">
        <v>204</v>
      </c>
      <c r="C37" s="94"/>
      <c r="E37" s="96"/>
      <c r="F37" s="96"/>
      <c r="G37" s="96"/>
      <c r="H37" s="96"/>
      <c r="I37" s="162" t="s">
        <v>132</v>
      </c>
      <c r="J37" s="163"/>
      <c r="K37" s="163"/>
      <c r="L37" s="163"/>
      <c r="M37" s="163"/>
      <c r="N37" s="164">
        <f>N36/I36-1</f>
        <v>-0.13677891648166318</v>
      </c>
      <c r="O37" s="164" t="e">
        <f t="shared" ref="O37" si="100">O36/J36-1</f>
        <v>#DIV/0!</v>
      </c>
      <c r="P37" s="164" t="e">
        <f t="shared" ref="P37" si="101">P36/K36-1</f>
        <v>#DIV/0!</v>
      </c>
      <c r="Q37" s="164" t="e">
        <f t="shared" ref="Q37" si="102">Q36/L36-1</f>
        <v>#DIV/0!</v>
      </c>
      <c r="R37" s="164" t="e">
        <f t="shared" ref="R37" si="103">R36/M36-1</f>
        <v>#DIV/0!</v>
      </c>
      <c r="S37" s="164">
        <f t="shared" ref="S37" si="104">S36/N36-1</f>
        <v>0.80967843627849834</v>
      </c>
      <c r="T37" s="164" t="e">
        <f t="shared" ref="T37" si="105">T36/O36-1</f>
        <v>#DIV/0!</v>
      </c>
      <c r="U37" s="164" t="e">
        <f t="shared" ref="U37" si="106">U36/P36-1</f>
        <v>#DIV/0!</v>
      </c>
      <c r="V37" s="164" t="e">
        <f t="shared" ref="V37" si="107">V36/Q36-1</f>
        <v>#DIV/0!</v>
      </c>
      <c r="W37" s="164" t="e">
        <f t="shared" ref="W37" si="108">W36/R36-1</f>
        <v>#DIV/0!</v>
      </c>
      <c r="X37" s="164">
        <f t="shared" ref="X37" si="109">X36/S36-1</f>
        <v>0.22235725223637237</v>
      </c>
      <c r="Y37" s="164">
        <f t="shared" ref="Y37" si="110">Y36/T36-1</f>
        <v>0.52759580858152333</v>
      </c>
      <c r="Z37" s="164">
        <f t="shared" ref="Z37" si="111">Z36/U36-1</f>
        <v>0.25336642421859645</v>
      </c>
      <c r="AA37" s="164">
        <f t="shared" ref="AA37" si="112">AA36/V36-1</f>
        <v>0.16322969478549476</v>
      </c>
      <c r="AB37" s="164">
        <f t="shared" ref="AB37" si="113">AB36/W36-1</f>
        <v>0.23249726885604094</v>
      </c>
      <c r="AC37" s="164">
        <f t="shared" ref="AC37" si="114">AC36/X36-1</f>
        <v>0.27680219546857909</v>
      </c>
      <c r="AD37" s="164">
        <f t="shared" ref="AD37:AE37" si="115">AD36/Y36-1</f>
        <v>0.24147180516677502</v>
      </c>
      <c r="AE37" s="164">
        <f t="shared" si="115"/>
        <v>0.26753517491063317</v>
      </c>
      <c r="AF37" s="164"/>
      <c r="AG37" s="164"/>
      <c r="AH37" s="240">
        <f>AH36/AC36-1</f>
        <v>0.19425841617144224</v>
      </c>
      <c r="AI37" s="240">
        <f>AI36/AH36-1</f>
        <v>0.18893478668034369</v>
      </c>
      <c r="AJ37" s="240">
        <f>AJ36/AI36-1</f>
        <v>0.18572812274581141</v>
      </c>
    </row>
    <row r="38" spans="2:36" x14ac:dyDescent="0.2">
      <c r="B38" s="257" t="s">
        <v>209</v>
      </c>
      <c r="C38" s="133"/>
      <c r="D38" s="134"/>
      <c r="E38" s="135"/>
      <c r="F38" s="135"/>
      <c r="G38" s="135"/>
      <c r="H38" s="135"/>
      <c r="I38" s="258">
        <f>I36/I$10</f>
        <v>0.16642509651618073</v>
      </c>
      <c r="J38" s="258" t="e">
        <f t="shared" ref="J38:AB38" si="116">J36/J$10</f>
        <v>#DIV/0!</v>
      </c>
      <c r="K38" s="258" t="e">
        <f t="shared" si="116"/>
        <v>#DIV/0!</v>
      </c>
      <c r="L38" s="258" t="e">
        <f t="shared" si="116"/>
        <v>#DIV/0!</v>
      </c>
      <c r="M38" s="258" t="e">
        <f t="shared" si="116"/>
        <v>#DIV/0!</v>
      </c>
      <c r="N38" s="258">
        <f t="shared" si="116"/>
        <v>0.13410126667729388</v>
      </c>
      <c r="O38" s="258" t="e">
        <f t="shared" si="116"/>
        <v>#DIV/0!</v>
      </c>
      <c r="P38" s="258" t="e">
        <f t="shared" si="116"/>
        <v>#DIV/0!</v>
      </c>
      <c r="Q38" s="258" t="e">
        <f t="shared" si="116"/>
        <v>#DIV/0!</v>
      </c>
      <c r="R38" s="258" t="e">
        <f t="shared" si="116"/>
        <v>#DIV/0!</v>
      </c>
      <c r="S38" s="258">
        <f t="shared" si="116"/>
        <v>0.19243941449525848</v>
      </c>
      <c r="T38" s="258">
        <f t="shared" si="116"/>
        <v>0.17187542531967956</v>
      </c>
      <c r="U38" s="258">
        <f t="shared" si="116"/>
        <v>0.22064039896283399</v>
      </c>
      <c r="V38" s="258">
        <f t="shared" si="116"/>
        <v>0.22121229182384272</v>
      </c>
      <c r="W38" s="258">
        <f t="shared" si="116"/>
        <v>0.2056911885220529</v>
      </c>
      <c r="X38" s="258">
        <f t="shared" si="116"/>
        <v>0.20560099005727156</v>
      </c>
      <c r="Y38" s="258">
        <f t="shared" si="116"/>
        <v>0.22397596872387676</v>
      </c>
      <c r="Z38" s="258">
        <f t="shared" si="116"/>
        <v>0.24339261834236586</v>
      </c>
      <c r="AA38" s="258">
        <f t="shared" si="116"/>
        <v>0.23111206222784622</v>
      </c>
      <c r="AB38" s="258">
        <f t="shared" si="116"/>
        <v>0.21969065937559612</v>
      </c>
      <c r="AC38" s="258">
        <f>AC36/AC$10</f>
        <v>0.2296169565996522</v>
      </c>
      <c r="AD38" s="258">
        <f t="shared" ref="AD38:AE38" si="117">AD36/AD$10</f>
        <v>0.24376167719279546</v>
      </c>
      <c r="AE38" s="258">
        <f t="shared" si="117"/>
        <v>0.26095104901690719</v>
      </c>
      <c r="AF38" s="258"/>
      <c r="AG38" s="258"/>
      <c r="AH38" s="240">
        <v>0.24</v>
      </c>
      <c r="AI38" s="240">
        <v>0.25</v>
      </c>
      <c r="AJ38" s="240">
        <v>0.26</v>
      </c>
    </row>
    <row r="39" spans="2:36" x14ac:dyDescent="0.2">
      <c r="B39" s="120"/>
      <c r="C39" s="94"/>
      <c r="E39" s="96"/>
      <c r="F39" s="96"/>
      <c r="G39" s="96"/>
      <c r="H39" s="96"/>
      <c r="I39" s="157"/>
      <c r="J39" s="158"/>
      <c r="K39" s="158"/>
      <c r="L39" s="158"/>
      <c r="M39" s="158"/>
      <c r="N39" s="157"/>
      <c r="O39" s="158"/>
      <c r="P39" s="158"/>
      <c r="Q39" s="158"/>
      <c r="R39" s="158"/>
      <c r="S39" s="157"/>
      <c r="T39" s="158"/>
      <c r="U39" s="158"/>
      <c r="V39" s="158"/>
      <c r="W39" s="158"/>
      <c r="X39" s="157"/>
      <c r="Y39" s="158"/>
      <c r="Z39" s="158"/>
      <c r="AA39" s="158"/>
      <c r="AB39" s="158"/>
      <c r="AC39" s="157"/>
      <c r="AD39" s="158"/>
      <c r="AE39" s="158"/>
      <c r="AF39" s="158"/>
      <c r="AG39" s="158"/>
      <c r="AH39" s="160"/>
      <c r="AI39" s="160"/>
      <c r="AJ39" s="160"/>
    </row>
    <row r="40" spans="2:36" ht="16" x14ac:dyDescent="0.2">
      <c r="B40" s="121" t="s">
        <v>210</v>
      </c>
      <c r="C40" s="94"/>
      <c r="E40" s="96"/>
      <c r="F40" s="96"/>
      <c r="G40" s="96"/>
      <c r="H40" s="96"/>
      <c r="I40" s="157"/>
      <c r="J40" s="158"/>
      <c r="K40" s="158"/>
      <c r="L40" s="158"/>
      <c r="M40" s="158"/>
      <c r="N40" s="157"/>
      <c r="O40" s="158"/>
      <c r="P40" s="158"/>
      <c r="Q40" s="158"/>
      <c r="R40" s="158"/>
      <c r="S40" s="157"/>
      <c r="T40" s="158"/>
      <c r="U40" s="158"/>
      <c r="V40" s="158"/>
      <c r="W40" s="158"/>
      <c r="X40" s="157"/>
      <c r="Y40" s="158"/>
      <c r="Z40" s="158"/>
      <c r="AA40" s="158"/>
      <c r="AB40" s="158"/>
      <c r="AC40" s="157"/>
      <c r="AD40" s="158"/>
      <c r="AE40" s="158"/>
      <c r="AF40" s="158"/>
      <c r="AG40" s="158"/>
      <c r="AH40" s="160"/>
      <c r="AI40" s="160"/>
      <c r="AJ40" s="160"/>
    </row>
    <row r="41" spans="2:36" x14ac:dyDescent="0.2">
      <c r="B41" t="s">
        <v>47</v>
      </c>
      <c r="C41" s="94"/>
      <c r="E41" s="96"/>
      <c r="F41" s="96"/>
      <c r="G41" s="96"/>
      <c r="H41" s="96"/>
      <c r="I41" s="157">
        <v>451552</v>
      </c>
      <c r="J41" s="158"/>
      <c r="K41" s="158"/>
      <c r="L41" s="158"/>
      <c r="M41" s="158"/>
      <c r="N41" s="157">
        <v>466291</v>
      </c>
      <c r="O41" s="158"/>
      <c r="P41" s="158"/>
      <c r="Q41" s="158"/>
      <c r="R41" s="158"/>
      <c r="S41" s="157">
        <v>606854</v>
      </c>
      <c r="T41" s="158">
        <v>147402</v>
      </c>
      <c r="U41" s="158">
        <v>140820</v>
      </c>
      <c r="V41" s="158">
        <v>140896</v>
      </c>
      <c r="W41" s="158">
        <f>X41-V41-U41-T41</f>
        <v>135073</v>
      </c>
      <c r="X41" s="157">
        <v>564191</v>
      </c>
      <c r="Y41" s="158">
        <v>148340</v>
      </c>
      <c r="Z41" s="158">
        <v>156496</v>
      </c>
      <c r="AA41" s="158">
        <v>159501</v>
      </c>
      <c r="AB41" s="158">
        <f>AC41-AA41-Z41-Y41</f>
        <v>169247</v>
      </c>
      <c r="AC41" s="157">
        <v>633584</v>
      </c>
      <c r="AD41" s="158">
        <v>204625</v>
      </c>
      <c r="AE41" s="158">
        <v>175028</v>
      </c>
      <c r="AF41" s="158">
        <v>128000</v>
      </c>
      <c r="AG41" s="158"/>
      <c r="AH41" s="160">
        <f>AH43*$AH$10</f>
        <v>789548.42266386806</v>
      </c>
      <c r="AI41" s="160">
        <f t="shared" ref="AI41:AJ41" si="118">AI43*$AH$10</f>
        <v>733152.10675930604</v>
      </c>
      <c r="AJ41" s="160">
        <f t="shared" si="118"/>
        <v>733152.10675930604</v>
      </c>
    </row>
    <row r="42" spans="2:36" x14ac:dyDescent="0.2">
      <c r="B42" s="118" t="s">
        <v>204</v>
      </c>
      <c r="C42" s="94"/>
      <c r="E42" s="96"/>
      <c r="F42" s="96"/>
      <c r="G42" s="96"/>
      <c r="H42" s="96"/>
      <c r="I42" s="162" t="s">
        <v>132</v>
      </c>
      <c r="J42" s="163"/>
      <c r="K42" s="163"/>
      <c r="L42" s="163"/>
      <c r="M42" s="163"/>
      <c r="N42" s="164">
        <f>N41/I41-1</f>
        <v>3.2640758982354301E-2</v>
      </c>
      <c r="O42" s="164" t="e">
        <f t="shared" ref="O42" si="119">O41/J41-1</f>
        <v>#DIV/0!</v>
      </c>
      <c r="P42" s="164" t="e">
        <f t="shared" ref="P42" si="120">P41/K41-1</f>
        <v>#DIV/0!</v>
      </c>
      <c r="Q42" s="164" t="e">
        <f t="shared" ref="Q42" si="121">Q41/L41-1</f>
        <v>#DIV/0!</v>
      </c>
      <c r="R42" s="164" t="e">
        <f t="shared" ref="R42" si="122">R41/M41-1</f>
        <v>#DIV/0!</v>
      </c>
      <c r="S42" s="164">
        <f t="shared" ref="S42" si="123">S41/N41-1</f>
        <v>0.30144909509297846</v>
      </c>
      <c r="T42" s="164" t="e">
        <f t="shared" ref="T42" si="124">T41/O41-1</f>
        <v>#DIV/0!</v>
      </c>
      <c r="U42" s="164" t="e">
        <f t="shared" ref="U42" si="125">U41/P41-1</f>
        <v>#DIV/0!</v>
      </c>
      <c r="V42" s="164" t="e">
        <f t="shared" ref="V42" si="126">V41/Q41-1</f>
        <v>#DIV/0!</v>
      </c>
      <c r="W42" s="164" t="e">
        <f t="shared" ref="W42" si="127">W41/R41-1</f>
        <v>#DIV/0!</v>
      </c>
      <c r="X42" s="164">
        <f t="shared" ref="X42" si="128">X41/S41-1</f>
        <v>-7.0301917759461041E-2</v>
      </c>
      <c r="Y42" s="164">
        <f t="shared" ref="Y42" si="129">Y41/T41-1</f>
        <v>6.3635500196741468E-3</v>
      </c>
      <c r="Z42" s="164">
        <f t="shared" ref="Z42" si="130">Z41/U41-1</f>
        <v>0.11131941485584429</v>
      </c>
      <c r="AA42" s="164">
        <f t="shared" ref="AA42" si="131">AA41/V41-1</f>
        <v>0.1320477515330456</v>
      </c>
      <c r="AB42" s="164">
        <f t="shared" ref="AB42" si="132">AB41/W41-1</f>
        <v>0.25300393120756914</v>
      </c>
      <c r="AC42" s="164">
        <f t="shared" ref="AC42" si="133">AC41/X41-1</f>
        <v>0.12299558128364341</v>
      </c>
      <c r="AD42" s="164">
        <f t="shared" ref="AD42:AE42" si="134">AD41/Y41-1</f>
        <v>0.37943238506134547</v>
      </c>
      <c r="AE42" s="164">
        <f t="shared" si="134"/>
        <v>0.11841836213066159</v>
      </c>
      <c r="AF42" s="164">
        <f>AF41/AA41-1</f>
        <v>-0.19749719437495694</v>
      </c>
      <c r="AG42" s="164"/>
      <c r="AH42" s="160"/>
      <c r="AI42" s="160"/>
      <c r="AJ42" s="160"/>
    </row>
    <row r="43" spans="2:36" x14ac:dyDescent="0.2">
      <c r="B43" s="118" t="s">
        <v>206</v>
      </c>
      <c r="C43" s="94"/>
      <c r="E43" s="96"/>
      <c r="F43" s="96"/>
      <c r="G43" s="96"/>
      <c r="H43" s="96"/>
      <c r="I43" s="164">
        <f>I41/I$10</f>
        <v>8.0831037119101876E-2</v>
      </c>
      <c r="J43" s="164" t="e">
        <f t="shared" ref="J43:AB43" si="135">J41/J$10</f>
        <v>#DIV/0!</v>
      </c>
      <c r="K43" s="164" t="e">
        <f t="shared" si="135"/>
        <v>#DIV/0!</v>
      </c>
      <c r="L43" s="164" t="e">
        <f t="shared" si="135"/>
        <v>#DIV/0!</v>
      </c>
      <c r="M43" s="164" t="e">
        <f t="shared" si="135"/>
        <v>#DIV/0!</v>
      </c>
      <c r="N43" s="164">
        <f t="shared" si="135"/>
        <v>7.7914706229319952E-2</v>
      </c>
      <c r="O43" s="164" t="e">
        <f t="shared" si="135"/>
        <v>#DIV/0!</v>
      </c>
      <c r="P43" s="164" t="e">
        <f t="shared" si="135"/>
        <v>#DIV/0!</v>
      </c>
      <c r="Q43" s="164" t="e">
        <f t="shared" si="135"/>
        <v>#DIV/0!</v>
      </c>
      <c r="R43" s="164" t="e">
        <f t="shared" si="135"/>
        <v>#DIV/0!</v>
      </c>
      <c r="S43" s="164">
        <f t="shared" si="135"/>
        <v>8.0409314301288934E-2</v>
      </c>
      <c r="T43" s="164">
        <f t="shared" si="135"/>
        <v>7.2951821271452819E-2</v>
      </c>
      <c r="U43" s="164">
        <f t="shared" si="135"/>
        <v>6.3623331084845108E-2</v>
      </c>
      <c r="V43" s="164">
        <f t="shared" si="135"/>
        <v>6.3461664058013442E-2</v>
      </c>
      <c r="W43" s="164">
        <f t="shared" si="135"/>
        <v>6.1943071605554255E-2</v>
      </c>
      <c r="X43" s="164">
        <f t="shared" si="135"/>
        <v>6.5340328712726353E-2</v>
      </c>
      <c r="Y43" s="164">
        <f t="shared" si="135"/>
        <v>6.2628241393577588E-2</v>
      </c>
      <c r="Z43" s="164">
        <f t="shared" si="135"/>
        <v>6.2229973663920128E-2</v>
      </c>
      <c r="AA43" s="164">
        <f t="shared" si="135"/>
        <v>6.4524415562139656E-2</v>
      </c>
      <c r="AB43" s="164">
        <f t="shared" si="135"/>
        <v>6.7259728492401596E-2</v>
      </c>
      <c r="AC43" s="164">
        <f>AC41/AC$10</f>
        <v>6.4182184759608046E-2</v>
      </c>
      <c r="AD43" s="164">
        <f t="shared" ref="AD43" si="136">AD41/AD$10</f>
        <v>7.573520049980606E-2</v>
      </c>
      <c r="AE43" s="164">
        <f t="shared" ref="AE43" si="137">AE41/AE$10</f>
        <v>5.8870202551732746E-2</v>
      </c>
      <c r="AF43" s="164"/>
      <c r="AG43" s="164"/>
      <c r="AH43" s="240">
        <v>7.0000000000000007E-2</v>
      </c>
      <c r="AI43" s="240">
        <v>6.5000000000000002E-2</v>
      </c>
      <c r="AJ43" s="240">
        <f>AI43</f>
        <v>6.5000000000000002E-2</v>
      </c>
    </row>
    <row r="44" spans="2:36" x14ac:dyDescent="0.2">
      <c r="B44" t="s">
        <v>45</v>
      </c>
      <c r="C44" s="94"/>
      <c r="E44" s="96"/>
      <c r="F44" s="96"/>
      <c r="G44" s="96"/>
      <c r="H44" s="96"/>
      <c r="I44" s="157">
        <v>11108</v>
      </c>
      <c r="J44" s="158"/>
      <c r="K44" s="158"/>
      <c r="L44" s="158"/>
      <c r="M44" s="158"/>
      <c r="N44" s="157">
        <v>15515</v>
      </c>
      <c r="O44" s="158"/>
      <c r="P44" s="158"/>
      <c r="Q44" s="158"/>
      <c r="R44" s="158"/>
      <c r="S44" s="157">
        <v>21264</v>
      </c>
      <c r="T44" s="158">
        <v>5348</v>
      </c>
      <c r="U44" s="158">
        <v>5253</v>
      </c>
      <c r="V44" s="158">
        <v>7618</v>
      </c>
      <c r="W44" s="158">
        <f>X44-V44-U44-T44</f>
        <v>11341</v>
      </c>
      <c r="X44" s="157">
        <v>29560</v>
      </c>
      <c r="Y44" s="158">
        <v>6198</v>
      </c>
      <c r="Z44" s="158">
        <v>7538</v>
      </c>
      <c r="AA44" s="158">
        <v>9605</v>
      </c>
      <c r="AB44" s="158">
        <f>AC44-AA44-Z44-Y44</f>
        <v>13590</v>
      </c>
      <c r="AC44" s="157">
        <v>36931</v>
      </c>
      <c r="AD44" s="158">
        <v>7211</v>
      </c>
      <c r="AE44" s="158">
        <v>8995</v>
      </c>
      <c r="AF44" s="158"/>
      <c r="AG44" s="158"/>
      <c r="AH44" s="160">
        <f>AH46*$AH$10</f>
        <v>45117.052723649598</v>
      </c>
      <c r="AI44" s="160">
        <f t="shared" ref="AI44:AJ44" si="138">AI46*$AH$10</f>
        <v>45117.052723649598</v>
      </c>
      <c r="AJ44" s="160">
        <f t="shared" si="138"/>
        <v>45117.052723649598</v>
      </c>
    </row>
    <row r="45" spans="2:36" x14ac:dyDescent="0.2">
      <c r="B45" s="118" t="s">
        <v>204</v>
      </c>
      <c r="C45" s="94"/>
      <c r="E45" s="96"/>
      <c r="F45" s="96"/>
      <c r="G45" s="96"/>
      <c r="H45" s="96"/>
      <c r="I45" s="162" t="s">
        <v>132</v>
      </c>
      <c r="J45" s="163"/>
      <c r="K45" s="163"/>
      <c r="L45" s="163"/>
      <c r="M45" s="163"/>
      <c r="N45" s="164">
        <f>N44/I44-1</f>
        <v>0.39674108750450121</v>
      </c>
      <c r="O45" s="164" t="e">
        <f t="shared" ref="O45" si="139">O44/J44-1</f>
        <v>#DIV/0!</v>
      </c>
      <c r="P45" s="164" t="e">
        <f t="shared" ref="P45" si="140">P44/K44-1</f>
        <v>#DIV/0!</v>
      </c>
      <c r="Q45" s="164" t="e">
        <f t="shared" ref="Q45" si="141">Q44/L44-1</f>
        <v>#DIV/0!</v>
      </c>
      <c r="R45" s="164" t="e">
        <f t="shared" ref="R45" si="142">R44/M44-1</f>
        <v>#DIV/0!</v>
      </c>
      <c r="S45" s="164">
        <f t="shared" ref="S45" si="143">S44/N44-1</f>
        <v>0.37054463422494366</v>
      </c>
      <c r="T45" s="164" t="e">
        <f t="shared" ref="T45" si="144">T44/O44-1</f>
        <v>#DIV/0!</v>
      </c>
      <c r="U45" s="164" t="e">
        <f t="shared" ref="U45" si="145">U44/P44-1</f>
        <v>#DIV/0!</v>
      </c>
      <c r="V45" s="164" t="e">
        <f t="shared" ref="V45" si="146">V44/Q44-1</f>
        <v>#DIV/0!</v>
      </c>
      <c r="W45" s="164" t="e">
        <f t="shared" ref="W45" si="147">W44/R44-1</f>
        <v>#DIV/0!</v>
      </c>
      <c r="X45" s="164">
        <f t="shared" ref="X45" si="148">X44/S44-1</f>
        <v>0.39014296463506404</v>
      </c>
      <c r="Y45" s="164">
        <f t="shared" ref="Y45" si="149">Y44/T44-1</f>
        <v>0.15893792071802548</v>
      </c>
      <c r="Z45" s="164">
        <f t="shared" ref="Z45" si="150">Z44/U44-1</f>
        <v>0.4349895297924995</v>
      </c>
      <c r="AA45" s="164">
        <f t="shared" ref="AA45" si="151">AA44/V44-1</f>
        <v>0.26082961407193483</v>
      </c>
      <c r="AB45" s="164">
        <f t="shared" ref="AB45" si="152">AB44/W44-1</f>
        <v>0.19830702759897711</v>
      </c>
      <c r="AC45" s="164">
        <f t="shared" ref="AC45" si="153">AC44/X44-1</f>
        <v>0.24935723951285516</v>
      </c>
      <c r="AD45" s="164">
        <f t="shared" ref="AD45" si="154">AD44/Y44-1</f>
        <v>0.16343981929654738</v>
      </c>
      <c r="AE45" s="164">
        <f>AE44/Z44-1</f>
        <v>0.19328734412310955</v>
      </c>
      <c r="AF45" s="164"/>
      <c r="AG45" s="164"/>
      <c r="AH45" s="160"/>
      <c r="AI45" s="160"/>
      <c r="AJ45" s="160"/>
    </row>
    <row r="46" spans="2:36" x14ac:dyDescent="0.2">
      <c r="B46" s="118" t="s">
        <v>206</v>
      </c>
      <c r="C46" s="94"/>
      <c r="E46" s="96"/>
      <c r="F46" s="96"/>
      <c r="G46" s="96"/>
      <c r="H46" s="96"/>
      <c r="I46" s="164">
        <f>I44/I$10</f>
        <v>1.9884114350484186E-3</v>
      </c>
      <c r="J46" s="164" t="e">
        <f t="shared" ref="J46:AB46" si="155">J44/J$10</f>
        <v>#DIV/0!</v>
      </c>
      <c r="K46" s="164" t="e">
        <f t="shared" si="155"/>
        <v>#DIV/0!</v>
      </c>
      <c r="L46" s="164" t="e">
        <f t="shared" si="155"/>
        <v>#DIV/0!</v>
      </c>
      <c r="M46" s="164" t="e">
        <f t="shared" si="155"/>
        <v>#DIV/0!</v>
      </c>
      <c r="N46" s="164">
        <f t="shared" si="155"/>
        <v>2.5924726558048494E-3</v>
      </c>
      <c r="O46" s="164" t="e">
        <f t="shared" si="155"/>
        <v>#DIV/0!</v>
      </c>
      <c r="P46" s="164" t="e">
        <f t="shared" si="155"/>
        <v>#DIV/0!</v>
      </c>
      <c r="Q46" s="164" t="e">
        <f t="shared" si="155"/>
        <v>#DIV/0!</v>
      </c>
      <c r="R46" s="164" t="e">
        <f t="shared" si="155"/>
        <v>#DIV/0!</v>
      </c>
      <c r="S46" s="164">
        <f t="shared" si="155"/>
        <v>2.817520621603562E-3</v>
      </c>
      <c r="T46" s="164">
        <f t="shared" si="155"/>
        <v>2.6468184974405345E-3</v>
      </c>
      <c r="U46" s="164">
        <f t="shared" si="155"/>
        <v>2.3733372971786065E-3</v>
      </c>
      <c r="V46" s="164">
        <f t="shared" si="155"/>
        <v>3.4312610492416139E-3</v>
      </c>
      <c r="W46" s="164">
        <f t="shared" si="155"/>
        <v>5.2008645330938888E-3</v>
      </c>
      <c r="X46" s="164">
        <f t="shared" si="155"/>
        <v>3.4234153269871214E-3</v>
      </c>
      <c r="Y46" s="164">
        <f t="shared" si="155"/>
        <v>2.6167577198152481E-3</v>
      </c>
      <c r="Z46" s="164">
        <f t="shared" si="155"/>
        <v>2.997453874083874E-3</v>
      </c>
      <c r="AA46" s="164">
        <f t="shared" si="155"/>
        <v>3.8855995352653047E-3</v>
      </c>
      <c r="AB46" s="164">
        <f t="shared" si="155"/>
        <v>5.400743943536593E-3</v>
      </c>
      <c r="AC46" s="164">
        <f>AC44/AC$10</f>
        <v>3.7411176187483975E-3</v>
      </c>
      <c r="AD46" s="164">
        <f t="shared" ref="AD46" si="156">AD44/AD$10</f>
        <v>2.6689140173688525E-3</v>
      </c>
      <c r="AE46" s="164">
        <f>AE44/AE$10</f>
        <v>3.0254443400646526E-3</v>
      </c>
      <c r="AF46" s="164"/>
      <c r="AG46" s="164"/>
      <c r="AH46" s="240">
        <v>4.0000000000000001E-3</v>
      </c>
      <c r="AI46" s="240">
        <f>AH46</f>
        <v>4.0000000000000001E-3</v>
      </c>
      <c r="AJ46" s="240">
        <f>AI46</f>
        <v>4.0000000000000001E-3</v>
      </c>
    </row>
    <row r="47" spans="2:36" x14ac:dyDescent="0.2">
      <c r="B47" t="s">
        <v>44</v>
      </c>
      <c r="C47" s="94"/>
      <c r="E47" s="96"/>
      <c r="F47" s="96"/>
      <c r="G47" s="96"/>
      <c r="H47" s="96"/>
      <c r="I47" s="157">
        <v>23094</v>
      </c>
      <c r="J47" s="158"/>
      <c r="K47" s="158"/>
      <c r="L47" s="158"/>
      <c r="M47" s="158"/>
      <c r="N47" s="157">
        <v>30577</v>
      </c>
      <c r="O47" s="158"/>
      <c r="P47" s="158"/>
      <c r="Q47" s="158"/>
      <c r="R47" s="158"/>
      <c r="S47" s="157">
        <v>19291</v>
      </c>
      <c r="T47" s="158">
        <v>4310</v>
      </c>
      <c r="U47" s="158">
        <v>4681</v>
      </c>
      <c r="V47" s="158">
        <v>6363</v>
      </c>
      <c r="W47" s="158">
        <f>X47-V47-U47-T47</f>
        <v>5785</v>
      </c>
      <c r="X47" s="157">
        <v>21139</v>
      </c>
      <c r="Y47" s="158">
        <v>8361</v>
      </c>
      <c r="Z47" s="158">
        <v>16240</v>
      </c>
      <c r="AA47" s="158">
        <v>7241</v>
      </c>
      <c r="AB47" s="158">
        <f>AC47-AA47-Z47-Y47</f>
        <v>6528</v>
      </c>
      <c r="AC47" s="157">
        <v>38370</v>
      </c>
      <c r="AD47" s="158">
        <v>5479</v>
      </c>
      <c r="AE47" s="158">
        <v>5762</v>
      </c>
      <c r="AF47" s="158"/>
      <c r="AG47" s="158"/>
      <c r="AH47" s="160">
        <f>AH49*$AH$10</f>
        <v>50756.684314105798</v>
      </c>
      <c r="AI47" s="160">
        <f t="shared" ref="AI47:AJ47" si="157">AI49*$AH$10</f>
        <v>50756.684314105798</v>
      </c>
      <c r="AJ47" s="160">
        <f t="shared" si="157"/>
        <v>50756.684314105798</v>
      </c>
    </row>
    <row r="48" spans="2:36" x14ac:dyDescent="0.2">
      <c r="B48" s="118" t="s">
        <v>204</v>
      </c>
      <c r="C48" s="94"/>
      <c r="E48" s="96"/>
      <c r="F48" s="96"/>
      <c r="G48" s="96"/>
      <c r="H48" s="96"/>
      <c r="I48" s="162" t="s">
        <v>132</v>
      </c>
      <c r="J48" s="163"/>
      <c r="K48" s="163"/>
      <c r="L48" s="163"/>
      <c r="M48" s="163"/>
      <c r="N48" s="164">
        <f>N47/I47-1</f>
        <v>0.32402355590196597</v>
      </c>
      <c r="O48" s="164" t="e">
        <f t="shared" ref="O48" si="158">O47/J47-1</f>
        <v>#DIV/0!</v>
      </c>
      <c r="P48" s="164" t="e">
        <f t="shared" ref="P48" si="159">P47/K47-1</f>
        <v>#DIV/0!</v>
      </c>
      <c r="Q48" s="164" t="e">
        <f t="shared" ref="Q48" si="160">Q47/L47-1</f>
        <v>#DIV/0!</v>
      </c>
      <c r="R48" s="164" t="e">
        <f t="shared" ref="R48" si="161">R47/M47-1</f>
        <v>#DIV/0!</v>
      </c>
      <c r="S48" s="164">
        <f t="shared" ref="S48" si="162">S47/N47-1</f>
        <v>-0.36910095823658307</v>
      </c>
      <c r="T48" s="164" t="e">
        <f t="shared" ref="T48" si="163">T47/O47-1</f>
        <v>#DIV/0!</v>
      </c>
      <c r="U48" s="164" t="e">
        <f t="shared" ref="U48" si="164">U47/P47-1</f>
        <v>#DIV/0!</v>
      </c>
      <c r="V48" s="164" t="e">
        <f t="shared" ref="V48" si="165">V47/Q47-1</f>
        <v>#DIV/0!</v>
      </c>
      <c r="W48" s="164" t="e">
        <f t="shared" ref="W48" si="166">W47/R47-1</f>
        <v>#DIV/0!</v>
      </c>
      <c r="X48" s="164">
        <f t="shared" ref="X48" si="167">X47/S47-1</f>
        <v>9.5795967031258034E-2</v>
      </c>
      <c r="Y48" s="164">
        <f t="shared" ref="Y48" si="168">Y47/T47-1</f>
        <v>0.93990719257540611</v>
      </c>
      <c r="Z48" s="164">
        <f t="shared" ref="Z48" si="169">Z47/U47-1</f>
        <v>2.4693441572313608</v>
      </c>
      <c r="AA48" s="164">
        <f t="shared" ref="AA48" si="170">AA47/V47-1</f>
        <v>0.13798522709413796</v>
      </c>
      <c r="AB48" s="164">
        <f t="shared" ref="AB48" si="171">AB47/W47-1</f>
        <v>0.12843560933448583</v>
      </c>
      <c r="AC48" s="164">
        <f t="shared" ref="AC48" si="172">AC47/X47-1</f>
        <v>0.81512843559297976</v>
      </c>
      <c r="AD48" s="164">
        <f t="shared" ref="AD48" si="173">AD47/Y47-1</f>
        <v>-0.34469561057289799</v>
      </c>
      <c r="AE48" s="164">
        <f>AE47/Z47-1</f>
        <v>-0.64519704433497538</v>
      </c>
      <c r="AF48" s="164"/>
      <c r="AG48" s="164"/>
      <c r="AH48" s="160"/>
      <c r="AI48" s="160"/>
      <c r="AJ48" s="160"/>
    </row>
    <row r="49" spans="2:36" x14ac:dyDescent="0.2">
      <c r="B49" s="118" t="s">
        <v>206</v>
      </c>
      <c r="C49" s="94"/>
      <c r="E49" s="96"/>
      <c r="F49" s="96"/>
      <c r="G49" s="96"/>
      <c r="H49" s="96"/>
      <c r="I49" s="164">
        <f>I47/I$10</f>
        <v>4.1339911488124043E-3</v>
      </c>
      <c r="J49" s="164" t="e">
        <f t="shared" ref="J49:AB49" si="174">J47/J$10</f>
        <v>#DIV/0!</v>
      </c>
      <c r="K49" s="164" t="e">
        <f t="shared" si="174"/>
        <v>#DIV/0!</v>
      </c>
      <c r="L49" s="164" t="e">
        <f t="shared" si="174"/>
        <v>#DIV/0!</v>
      </c>
      <c r="M49" s="164" t="e">
        <f t="shared" si="174"/>
        <v>#DIV/0!</v>
      </c>
      <c r="N49" s="164">
        <f t="shared" si="174"/>
        <v>5.1092514596548424E-3</v>
      </c>
      <c r="O49" s="164" t="e">
        <f t="shared" si="174"/>
        <v>#DIV/0!</v>
      </c>
      <c r="P49" s="164" t="e">
        <f t="shared" si="174"/>
        <v>#DIV/0!</v>
      </c>
      <c r="Q49" s="164" t="e">
        <f t="shared" si="174"/>
        <v>#DIV/0!</v>
      </c>
      <c r="R49" s="164" t="e">
        <f t="shared" si="174"/>
        <v>#DIV/0!</v>
      </c>
      <c r="S49" s="164">
        <f t="shared" si="174"/>
        <v>2.5560943524903269E-3</v>
      </c>
      <c r="T49" s="164">
        <f t="shared" si="174"/>
        <v>2.1330941892237667E-3</v>
      </c>
      <c r="U49" s="164">
        <f t="shared" si="174"/>
        <v>2.1149042238897881E-3</v>
      </c>
      <c r="V49" s="164">
        <f t="shared" si="174"/>
        <v>2.8659902935579402E-3</v>
      </c>
      <c r="W49" s="164">
        <f t="shared" si="174"/>
        <v>2.6529407745303009E-3</v>
      </c>
      <c r="X49" s="164">
        <f t="shared" si="174"/>
        <v>2.4481588835311486E-3</v>
      </c>
      <c r="Y49" s="164">
        <f t="shared" si="174"/>
        <v>3.5299631002541606E-3</v>
      </c>
      <c r="Z49" s="164">
        <f t="shared" si="174"/>
        <v>6.4577674336856079E-3</v>
      </c>
      <c r="AA49" s="164">
        <f t="shared" si="174"/>
        <v>2.9292687386627872E-3</v>
      </c>
      <c r="AB49" s="164">
        <f t="shared" si="174"/>
        <v>2.5942646404272908E-3</v>
      </c>
      <c r="AC49" s="164">
        <f>AC47/AC$10</f>
        <v>3.8868886039201758E-3</v>
      </c>
      <c r="AD49" s="164">
        <f t="shared" ref="AD49" si="175">AD47/AD$10</f>
        <v>2.0278712940180201E-3</v>
      </c>
      <c r="AE49" s="164">
        <f>AE47/AE$10</f>
        <v>1.9380333838190694E-3</v>
      </c>
      <c r="AF49" s="164"/>
      <c r="AG49" s="164"/>
      <c r="AH49" s="240">
        <v>4.4999999999999997E-3</v>
      </c>
      <c r="AI49" s="240">
        <f>AH49</f>
        <v>4.4999999999999997E-3</v>
      </c>
      <c r="AJ49" s="240">
        <f>AI49</f>
        <v>4.4999999999999997E-3</v>
      </c>
    </row>
    <row r="50" spans="2:36" s="11" customFormat="1" x14ac:dyDescent="0.2">
      <c r="B50" s="11" t="s">
        <v>255</v>
      </c>
      <c r="C50" s="104"/>
      <c r="E50" s="106"/>
      <c r="F50" s="106"/>
      <c r="G50" s="106"/>
      <c r="H50" s="106"/>
      <c r="I50" s="171">
        <v>5142411</v>
      </c>
      <c r="J50" s="158"/>
      <c r="K50" s="158"/>
      <c r="L50" s="158"/>
      <c r="M50" s="158"/>
      <c r="N50" s="171">
        <v>5694470</v>
      </c>
      <c r="O50" s="158"/>
      <c r="P50" s="158"/>
      <c r="Q50" s="158"/>
      <c r="R50" s="158"/>
      <c r="S50" s="171">
        <v>6742118</v>
      </c>
      <c r="T50" s="158">
        <v>1830318</v>
      </c>
      <c r="U50" s="158">
        <v>1875741</v>
      </c>
      <c r="V50" s="158">
        <v>1883922</v>
      </c>
      <c r="W50" s="158">
        <f>X50-V50-U50-T50</f>
        <v>1884268</v>
      </c>
      <c r="X50" s="171">
        <v>7474249</v>
      </c>
      <c r="Y50" s="158">
        <v>2000974</v>
      </c>
      <c r="Z50" s="158">
        <v>2082991</v>
      </c>
      <c r="AA50" s="158">
        <v>2076998</v>
      </c>
      <c r="AB50" s="158">
        <f>AC50-AA50-Z50-Y50</f>
        <v>2152873</v>
      </c>
      <c r="AC50" s="171">
        <v>8313836</v>
      </c>
      <c r="AD50" s="158">
        <v>2260556</v>
      </c>
      <c r="AE50" s="158">
        <v>2387064</v>
      </c>
      <c r="AF50" s="158"/>
      <c r="AG50" s="158"/>
      <c r="AH50" s="160"/>
      <c r="AI50" s="160"/>
      <c r="AJ50" s="160"/>
    </row>
    <row r="51" spans="2:36" s="11" customFormat="1" x14ac:dyDescent="0.2">
      <c r="B51" s="118" t="s">
        <v>204</v>
      </c>
      <c r="C51" s="104"/>
      <c r="E51" s="106"/>
      <c r="F51" s="106"/>
      <c r="G51" s="106"/>
      <c r="H51" s="106"/>
      <c r="I51" s="162" t="s">
        <v>132</v>
      </c>
      <c r="J51" s="163"/>
      <c r="K51" s="163"/>
      <c r="L51" s="163"/>
      <c r="M51" s="163"/>
      <c r="N51" s="164">
        <f>N50/I50-1</f>
        <v>0.10735411852533772</v>
      </c>
      <c r="O51" s="164" t="e">
        <f t="shared" ref="O51" si="176">O50/J50-1</f>
        <v>#DIV/0!</v>
      </c>
      <c r="P51" s="164" t="e">
        <f t="shared" ref="P51" si="177">P50/K50-1</f>
        <v>#DIV/0!</v>
      </c>
      <c r="Q51" s="164" t="e">
        <f t="shared" ref="Q51" si="178">Q50/L50-1</f>
        <v>#DIV/0!</v>
      </c>
      <c r="R51" s="164" t="e">
        <f t="shared" ref="R51" si="179">R50/M50-1</f>
        <v>#DIV/0!</v>
      </c>
      <c r="S51" s="164">
        <f t="shared" ref="S51" si="180">S50/N50-1</f>
        <v>0.1839763841059836</v>
      </c>
      <c r="T51" s="164" t="e">
        <f t="shared" ref="T51" si="181">T50/O50-1</f>
        <v>#DIV/0!</v>
      </c>
      <c r="U51" s="164" t="e">
        <f t="shared" ref="U51" si="182">U50/P50-1</f>
        <v>#DIV/0!</v>
      </c>
      <c r="V51" s="164" t="e">
        <f t="shared" ref="V51" si="183">V50/Q50-1</f>
        <v>#DIV/0!</v>
      </c>
      <c r="W51" s="164" t="e">
        <f t="shared" ref="W51" si="184">W50/R50-1</f>
        <v>#DIV/0!</v>
      </c>
      <c r="X51" s="164">
        <f t="shared" ref="X51" si="185">X50/S50-1</f>
        <v>0.1085906535602017</v>
      </c>
      <c r="Y51" s="164">
        <f t="shared" ref="Y51" si="186">Y50/T50-1</f>
        <v>9.3238442718696968E-2</v>
      </c>
      <c r="Z51" s="164">
        <f t="shared" ref="Z51" si="187">Z50/U50-1</f>
        <v>0.11048966781661229</v>
      </c>
      <c r="AA51" s="164">
        <f t="shared" ref="AA51" si="188">AA50/V50-1</f>
        <v>0.10248619634995504</v>
      </c>
      <c r="AB51" s="164">
        <f t="shared" ref="AB51" si="189">AB50/W50-1</f>
        <v>0.14255137804176465</v>
      </c>
      <c r="AC51" s="164">
        <f t="shared" ref="AC51" si="190">AC50/X50-1</f>
        <v>0.11233061676163048</v>
      </c>
      <c r="AD51" s="164">
        <f t="shared" ref="AD51" si="191">AD50/Y50-1</f>
        <v>0.12972782255041793</v>
      </c>
      <c r="AE51" s="164">
        <f>AE50/Z50-1</f>
        <v>0.14597902727376155</v>
      </c>
      <c r="AF51" s="164"/>
      <c r="AG51" s="164"/>
      <c r="AH51" s="160"/>
      <c r="AI51" s="160"/>
      <c r="AJ51" s="160"/>
    </row>
    <row r="52" spans="2:36" s="11" customFormat="1" x14ac:dyDescent="0.2">
      <c r="B52" s="118" t="s">
        <v>206</v>
      </c>
      <c r="C52" s="104"/>
      <c r="E52" s="106"/>
      <c r="F52" s="106"/>
      <c r="G52" s="106"/>
      <c r="H52" s="106"/>
      <c r="I52" s="164">
        <f>I50/I$10</f>
        <v>0.92052834318678201</v>
      </c>
      <c r="J52" s="164" t="e">
        <f t="shared" ref="J52:AB52" si="192">J50/J$10</f>
        <v>#DIV/0!</v>
      </c>
      <c r="K52" s="164" t="e">
        <f t="shared" si="192"/>
        <v>#DIV/0!</v>
      </c>
      <c r="L52" s="164" t="e">
        <f t="shared" si="192"/>
        <v>#DIV/0!</v>
      </c>
      <c r="M52" s="164" t="e">
        <f t="shared" si="192"/>
        <v>#DIV/0!</v>
      </c>
      <c r="N52" s="164">
        <f>N50/N$10</f>
        <v>0.95151516366748579</v>
      </c>
      <c r="O52" s="164" t="e">
        <f t="shared" si="192"/>
        <v>#DIV/0!</v>
      </c>
      <c r="P52" s="164" t="e">
        <f t="shared" si="192"/>
        <v>#DIV/0!</v>
      </c>
      <c r="Q52" s="164" t="e">
        <f t="shared" si="192"/>
        <v>#DIV/0!</v>
      </c>
      <c r="R52" s="164" t="e">
        <f t="shared" si="192"/>
        <v>#DIV/0!</v>
      </c>
      <c r="S52" s="164">
        <f t="shared" si="192"/>
        <v>0.8933435147801243</v>
      </c>
      <c r="T52" s="164">
        <f t="shared" si="192"/>
        <v>0.90585630863843758</v>
      </c>
      <c r="U52" s="164">
        <f t="shared" si="192"/>
        <v>0.84747117364307956</v>
      </c>
      <c r="V52" s="164">
        <f t="shared" si="192"/>
        <v>0.8485466235769703</v>
      </c>
      <c r="W52" s="164">
        <f t="shared" si="192"/>
        <v>0.86410568839112556</v>
      </c>
      <c r="X52" s="164">
        <f t="shared" si="192"/>
        <v>0.86561091286597303</v>
      </c>
      <c r="Y52" s="164">
        <f t="shared" si="192"/>
        <v>0.84479899348977028</v>
      </c>
      <c r="Z52" s="164">
        <f t="shared" si="192"/>
        <v>0.82829257662932376</v>
      </c>
      <c r="AA52" s="164">
        <f t="shared" si="192"/>
        <v>0.8402272216082215</v>
      </c>
      <c r="AB52" s="164">
        <f t="shared" si="192"/>
        <v>0.85556407770076937</v>
      </c>
      <c r="AC52" s="164">
        <f>AC50/AC$10</f>
        <v>0.84219323438262439</v>
      </c>
      <c r="AD52" s="164">
        <f t="shared" ref="AD52" si="193">AD50/AD$10</f>
        <v>0.83667030861839753</v>
      </c>
      <c r="AE52" s="164">
        <f>AE50/AE$10</f>
        <v>0.80288263125870929</v>
      </c>
      <c r="AF52" s="164"/>
      <c r="AG52" s="164"/>
      <c r="AH52" s="160"/>
      <c r="AI52" s="160"/>
      <c r="AJ52" s="160"/>
    </row>
    <row r="53" spans="2:36" s="11" customFormat="1" x14ac:dyDescent="0.2">
      <c r="B53" s="123" t="s">
        <v>42</v>
      </c>
      <c r="C53" s="122"/>
      <c r="D53" s="123"/>
      <c r="E53" s="124"/>
      <c r="F53" s="124"/>
      <c r="G53" s="124"/>
      <c r="H53" s="124"/>
      <c r="I53" s="166">
        <v>443958</v>
      </c>
      <c r="J53" s="167"/>
      <c r="K53" s="167"/>
      <c r="L53" s="167"/>
      <c r="M53" s="167"/>
      <c r="N53" s="166">
        <v>290164</v>
      </c>
      <c r="O53" s="167"/>
      <c r="P53" s="167"/>
      <c r="Q53" s="167"/>
      <c r="R53" s="167"/>
      <c r="S53" s="166">
        <v>804943</v>
      </c>
      <c r="T53" s="167">
        <v>190221</v>
      </c>
      <c r="U53" s="167">
        <v>337598</v>
      </c>
      <c r="V53" s="167">
        <v>336253</v>
      </c>
      <c r="W53" s="169">
        <f>X53-V53-U53-T53</f>
        <v>296331</v>
      </c>
      <c r="X53" s="166">
        <v>1160403</v>
      </c>
      <c r="Y53" s="167">
        <v>367606</v>
      </c>
      <c r="Z53" s="167">
        <v>431810</v>
      </c>
      <c r="AA53" s="167">
        <v>394950</v>
      </c>
      <c r="AB53" s="167">
        <f>AC53-AA53-Z53-Y53</f>
        <v>363447</v>
      </c>
      <c r="AC53" s="166">
        <v>1557813</v>
      </c>
      <c r="AD53" s="167">
        <v>441292</v>
      </c>
      <c r="AE53" s="167">
        <v>586053</v>
      </c>
      <c r="AF53" s="167"/>
      <c r="AG53" s="169"/>
      <c r="AH53" s="168">
        <f>AH36-AH41-AH44-AH47</f>
        <v>1821601.0037173522</v>
      </c>
      <c r="AI53" s="168">
        <f>AI36-AI41-AI44-AI47</f>
        <v>2389448.1635412276</v>
      </c>
      <c r="AJ53" s="168">
        <f>AJ36-AJ41-AJ44-AJ47</f>
        <v>2987209.299030357</v>
      </c>
    </row>
    <row r="54" spans="2:36" s="11" customFormat="1" x14ac:dyDescent="0.2">
      <c r="B54" s="118" t="s">
        <v>204</v>
      </c>
      <c r="C54" s="104"/>
      <c r="E54" s="106"/>
      <c r="F54" s="106"/>
      <c r="G54" s="106"/>
      <c r="H54" s="106"/>
      <c r="I54" s="162" t="s">
        <v>132</v>
      </c>
      <c r="J54" s="163"/>
      <c r="K54" s="163"/>
      <c r="L54" s="163"/>
      <c r="M54" s="163"/>
      <c r="N54" s="164">
        <f>N53/I53-1</f>
        <v>-0.34641565193103852</v>
      </c>
      <c r="O54" s="164" t="e">
        <f t="shared" ref="O54" si="194">O53/J53-1</f>
        <v>#DIV/0!</v>
      </c>
      <c r="P54" s="164" t="e">
        <f t="shared" ref="P54" si="195">P53/K53-1</f>
        <v>#DIV/0!</v>
      </c>
      <c r="Q54" s="164" t="e">
        <f t="shared" ref="Q54" si="196">Q53/L53-1</f>
        <v>#DIV/0!</v>
      </c>
      <c r="R54" s="164" t="e">
        <f t="shared" ref="R54" si="197">R53/M53-1</f>
        <v>#DIV/0!</v>
      </c>
      <c r="S54" s="164">
        <f t="shared" ref="S54" si="198">S53/N53-1</f>
        <v>1.7740967177182561</v>
      </c>
      <c r="T54" s="164" t="e">
        <f t="shared" ref="T54" si="199">T53/O53-1</f>
        <v>#DIV/0!</v>
      </c>
      <c r="U54" s="164" t="e">
        <f t="shared" ref="U54" si="200">U53/P53-1</f>
        <v>#DIV/0!</v>
      </c>
      <c r="V54" s="164" t="e">
        <f t="shared" ref="V54" si="201">V53/Q53-1</f>
        <v>#DIV/0!</v>
      </c>
      <c r="W54" s="164" t="e">
        <f t="shared" ref="W54" si="202">W53/R53-1</f>
        <v>#DIV/0!</v>
      </c>
      <c r="X54" s="164">
        <f t="shared" ref="X54" si="203">X53/S53-1</f>
        <v>0.4415964857138952</v>
      </c>
      <c r="Y54" s="164">
        <f t="shared" ref="Y54" si="204">Y53/T53-1</f>
        <v>0.93252059446643631</v>
      </c>
      <c r="Z54" s="164">
        <f t="shared" ref="Z54" si="205">Z53/U53-1</f>
        <v>0.27906563427508457</v>
      </c>
      <c r="AA54" s="164">
        <f t="shared" ref="AA54" si="206">AA53/V53-1</f>
        <v>0.17456201134264981</v>
      </c>
      <c r="AB54" s="164">
        <f t="shared" ref="AB54" si="207">AB53/W53-1</f>
        <v>0.22648997236198709</v>
      </c>
      <c r="AC54" s="164">
        <f t="shared" ref="AC54" si="208">AC53/X53-1</f>
        <v>0.34247584675324005</v>
      </c>
      <c r="AD54" s="164">
        <f t="shared" ref="AD54:AE54" si="209">AD53/Y53-1</f>
        <v>0.20044830606682162</v>
      </c>
      <c r="AE54" s="164">
        <f t="shared" si="209"/>
        <v>0.35720108381000903</v>
      </c>
      <c r="AF54" s="164"/>
      <c r="AG54" s="164"/>
      <c r="AH54" s="160"/>
      <c r="AI54" s="160"/>
      <c r="AJ54" s="160"/>
    </row>
    <row r="55" spans="2:36" s="11" customFormat="1" x14ac:dyDescent="0.2">
      <c r="B55" s="132" t="s">
        <v>214</v>
      </c>
      <c r="C55" s="136"/>
      <c r="D55" s="137"/>
      <c r="E55" s="138"/>
      <c r="F55" s="138"/>
      <c r="G55" s="138"/>
      <c r="H55" s="138"/>
      <c r="I55" s="172">
        <f>I53/I$10</f>
        <v>7.9471656813218036E-2</v>
      </c>
      <c r="J55" s="172" t="e">
        <f t="shared" ref="J55:AB55" si="210">J53/J$10</f>
        <v>#DIV/0!</v>
      </c>
      <c r="K55" s="172" t="e">
        <f t="shared" si="210"/>
        <v>#DIV/0!</v>
      </c>
      <c r="L55" s="172" t="e">
        <f t="shared" si="210"/>
        <v>#DIV/0!</v>
      </c>
      <c r="M55" s="172" t="e">
        <f t="shared" si="210"/>
        <v>#DIV/0!</v>
      </c>
      <c r="N55" s="172">
        <f t="shared" si="210"/>
        <v>4.8484836332514235E-2</v>
      </c>
      <c r="O55" s="172" t="e">
        <f t="shared" si="210"/>
        <v>#DIV/0!</v>
      </c>
      <c r="P55" s="172" t="e">
        <f t="shared" si="210"/>
        <v>#DIV/0!</v>
      </c>
      <c r="Q55" s="172" t="e">
        <f t="shared" si="210"/>
        <v>#DIV/0!</v>
      </c>
      <c r="R55" s="172" t="e">
        <f t="shared" si="210"/>
        <v>#DIV/0!</v>
      </c>
      <c r="S55" s="172">
        <f t="shared" si="210"/>
        <v>0.10665648521987565</v>
      </c>
      <c r="T55" s="172">
        <f t="shared" si="210"/>
        <v>9.4143691361562434E-2</v>
      </c>
      <c r="U55" s="172">
        <f t="shared" si="210"/>
        <v>0.15252882635692047</v>
      </c>
      <c r="V55" s="172">
        <f t="shared" si="210"/>
        <v>0.15145337642302972</v>
      </c>
      <c r="W55" s="172">
        <f t="shared" si="210"/>
        <v>0.13589431160887444</v>
      </c>
      <c r="X55" s="172">
        <f t="shared" si="210"/>
        <v>0.13438908713402695</v>
      </c>
      <c r="Y55" s="172">
        <f t="shared" si="210"/>
        <v>0.15520100651022975</v>
      </c>
      <c r="Z55" s="172">
        <f t="shared" si="210"/>
        <v>0.17170742337067624</v>
      </c>
      <c r="AA55" s="172">
        <f t="shared" si="210"/>
        <v>0.15977277839177847</v>
      </c>
      <c r="AB55" s="172">
        <f t="shared" si="210"/>
        <v>0.14443592229923063</v>
      </c>
      <c r="AC55" s="172">
        <f>AC53/AC$10</f>
        <v>0.15780676561737558</v>
      </c>
      <c r="AD55" s="172">
        <f t="shared" ref="AD55:AE55" si="211">AD53/AD$10</f>
        <v>0.16332969138160253</v>
      </c>
      <c r="AE55" s="172">
        <f t="shared" si="211"/>
        <v>0.19711736874129071</v>
      </c>
      <c r="AF55" s="172"/>
      <c r="AG55" s="172"/>
      <c r="AH55" s="172">
        <f t="shared" ref="AH55:AJ55" si="212">AH53/AH$10</f>
        <v>0.16149999999999998</v>
      </c>
      <c r="AI55" s="172">
        <f t="shared" si="212"/>
        <v>0.18560412155676581</v>
      </c>
      <c r="AJ55" s="172">
        <f t="shared" si="212"/>
        <v>0.2035184910467705</v>
      </c>
    </row>
    <row r="56" spans="2:36" s="11" customFormat="1" x14ac:dyDescent="0.2">
      <c r="B56" s="286" t="s">
        <v>302</v>
      </c>
      <c r="C56" s="136"/>
      <c r="D56" s="137"/>
      <c r="E56" s="138"/>
      <c r="F56" s="138"/>
      <c r="G56" s="138"/>
      <c r="H56" s="138"/>
      <c r="I56" s="435">
        <v>484500</v>
      </c>
      <c r="J56" s="435"/>
      <c r="K56" s="435"/>
      <c r="L56" s="435"/>
      <c r="M56" s="435"/>
      <c r="N56" s="435">
        <v>364500</v>
      </c>
      <c r="O56" s="435"/>
      <c r="P56" s="435"/>
      <c r="Q56" s="435"/>
      <c r="R56" s="435"/>
      <c r="S56" s="435">
        <v>910100</v>
      </c>
      <c r="T56" s="435"/>
      <c r="U56" s="435"/>
      <c r="V56" s="435"/>
      <c r="W56" s="435"/>
      <c r="X56" s="435">
        <v>1209500</v>
      </c>
      <c r="Y56" s="435"/>
      <c r="Z56" s="435"/>
      <c r="AA56" s="435"/>
      <c r="AB56" s="435"/>
      <c r="AC56" s="435">
        <v>1546900</v>
      </c>
      <c r="AD56" s="435"/>
      <c r="AE56" s="435"/>
      <c r="AF56" s="435"/>
      <c r="AG56" s="435"/>
      <c r="AH56" s="435">
        <v>1892500</v>
      </c>
      <c r="AI56" s="435">
        <v>2278400</v>
      </c>
      <c r="AJ56" s="435">
        <v>2690700</v>
      </c>
    </row>
    <row r="57" spans="2:36" s="11" customFormat="1" x14ac:dyDescent="0.2">
      <c r="B57" s="132"/>
      <c r="C57" s="136"/>
      <c r="D57" s="137"/>
      <c r="E57" s="138"/>
      <c r="F57" s="138"/>
      <c r="G57" s="138"/>
      <c r="H57" s="138"/>
      <c r="I57" s="434"/>
      <c r="J57" s="434"/>
      <c r="K57" s="434"/>
      <c r="L57" s="434"/>
      <c r="M57" s="434"/>
      <c r="N57" s="434"/>
      <c r="O57" s="434"/>
      <c r="P57" s="434"/>
      <c r="Q57" s="434"/>
      <c r="R57" s="434"/>
      <c r="S57" s="434"/>
      <c r="T57" s="434"/>
      <c r="U57" s="434"/>
      <c r="V57" s="434"/>
      <c r="W57" s="434"/>
      <c r="X57" s="434"/>
      <c r="Y57" s="434"/>
      <c r="Z57" s="434"/>
      <c r="AA57" s="434"/>
      <c r="AB57" s="434"/>
      <c r="AC57" s="434"/>
      <c r="AD57" s="434"/>
      <c r="AE57" s="434"/>
      <c r="AF57" s="434"/>
      <c r="AG57" s="434"/>
      <c r="AH57" s="434"/>
      <c r="AI57" s="434"/>
      <c r="AJ57" s="434"/>
    </row>
    <row r="58" spans="2:36" x14ac:dyDescent="0.2">
      <c r="B58" t="s">
        <v>41</v>
      </c>
      <c r="C58" s="94"/>
      <c r="E58" s="96"/>
      <c r="F58" s="96"/>
      <c r="G58" s="96"/>
      <c r="H58" s="96"/>
      <c r="I58" s="157">
        <v>14327</v>
      </c>
      <c r="J58" s="158"/>
      <c r="K58" s="158"/>
      <c r="L58" s="158"/>
      <c r="M58" s="158"/>
      <c r="N58" s="157">
        <v>3617</v>
      </c>
      <c r="O58" s="158"/>
      <c r="P58" s="158"/>
      <c r="Q58" s="158"/>
      <c r="R58" s="158"/>
      <c r="S58" s="157">
        <v>7820</v>
      </c>
      <c r="T58" s="158">
        <v>-213</v>
      </c>
      <c r="U58" s="158">
        <v>10572</v>
      </c>
      <c r="V58" s="158">
        <v>3712</v>
      </c>
      <c r="W58" s="158">
        <f>X58-V58-U58-T58</f>
        <v>7057</v>
      </c>
      <c r="X58" s="157">
        <v>21128</v>
      </c>
      <c r="Y58" s="158">
        <v>8949</v>
      </c>
      <c r="Z58" s="158">
        <v>16446</v>
      </c>
      <c r="AA58" s="158">
        <v>18392</v>
      </c>
      <c r="AB58" s="158">
        <f>AC58-AA58-Z58-Y58</f>
        <v>18906</v>
      </c>
      <c r="AC58" s="157">
        <v>62693</v>
      </c>
      <c r="AD58" s="158">
        <v>19364</v>
      </c>
      <c r="AE58" s="158">
        <v>21861</v>
      </c>
      <c r="AF58" s="158"/>
      <c r="AG58" s="158"/>
      <c r="AH58" s="160">
        <f>AH60*AH10</f>
        <v>225585.26361824799</v>
      </c>
      <c r="AI58" s="160">
        <f t="shared" ref="AI58:AJ58" si="213">AI60*AI10</f>
        <v>193108.4404402973</v>
      </c>
      <c r="AJ58" s="160">
        <f t="shared" si="213"/>
        <v>146778.27472413148</v>
      </c>
    </row>
    <row r="59" spans="2:36" x14ac:dyDescent="0.2">
      <c r="B59" s="118" t="s">
        <v>204</v>
      </c>
      <c r="C59" s="94"/>
      <c r="E59" s="96"/>
      <c r="F59" s="96"/>
      <c r="G59" s="96"/>
      <c r="H59" s="96"/>
      <c r="I59" s="162" t="s">
        <v>132</v>
      </c>
      <c r="J59" s="163"/>
      <c r="K59" s="163"/>
      <c r="L59" s="163"/>
      <c r="M59" s="163"/>
      <c r="N59" s="164">
        <f>N58/I58-1</f>
        <v>-0.74753961052558104</v>
      </c>
      <c r="O59" s="164" t="e">
        <f t="shared" ref="O59" si="214">O58/J58-1</f>
        <v>#DIV/0!</v>
      </c>
      <c r="P59" s="164" t="e">
        <f t="shared" ref="P59" si="215">P58/K58-1</f>
        <v>#DIV/0!</v>
      </c>
      <c r="Q59" s="164" t="e">
        <f t="shared" ref="Q59" si="216">Q58/L58-1</f>
        <v>#DIV/0!</v>
      </c>
      <c r="R59" s="164" t="e">
        <f t="shared" ref="R59" si="217">R58/M58-1</f>
        <v>#DIV/0!</v>
      </c>
      <c r="S59" s="164">
        <f t="shared" ref="S59" si="218">S58/N58-1</f>
        <v>1.1620127177218689</v>
      </c>
      <c r="T59" s="164" t="e">
        <f t="shared" ref="T59" si="219">T58/O58-1</f>
        <v>#DIV/0!</v>
      </c>
      <c r="U59" s="164" t="e">
        <f t="shared" ref="U59" si="220">U58/P58-1</f>
        <v>#DIV/0!</v>
      </c>
      <c r="V59" s="164" t="e">
        <f t="shared" ref="V59" si="221">V58/Q58-1</f>
        <v>#DIV/0!</v>
      </c>
      <c r="W59" s="164" t="e">
        <f t="shared" ref="W59" si="222">W58/R58-1</f>
        <v>#DIV/0!</v>
      </c>
      <c r="X59" s="164">
        <f t="shared" ref="X59" si="223">X58/S58-1</f>
        <v>1.7017902813299233</v>
      </c>
      <c r="Y59" s="164">
        <f t="shared" ref="Y59" si="224">Y58/T58-1</f>
        <v>-43.014084507042256</v>
      </c>
      <c r="Z59" s="164">
        <f t="shared" ref="Z59" si="225">Z58/U58-1</f>
        <v>0.55561861520998868</v>
      </c>
      <c r="AA59" s="164">
        <f t="shared" ref="AA59" si="226">AA58/V58-1</f>
        <v>3.9547413793103452</v>
      </c>
      <c r="AB59" s="164">
        <f t="shared" ref="AB59" si="227">AB58/W58-1</f>
        <v>1.6790420858721835</v>
      </c>
      <c r="AC59" s="164">
        <f t="shared" ref="AC59" si="228">AC58/X58-1</f>
        <v>1.967294585384324</v>
      </c>
      <c r="AD59" s="164">
        <f t="shared" ref="AD59:AE59" si="229">AD58/Y58-1</f>
        <v>1.1638171862777966</v>
      </c>
      <c r="AE59" s="164">
        <f t="shared" si="229"/>
        <v>0.32925939438161245</v>
      </c>
      <c r="AF59" s="164"/>
      <c r="AG59" s="164"/>
      <c r="AH59" s="160"/>
      <c r="AI59" s="160"/>
      <c r="AJ59" s="160"/>
    </row>
    <row r="60" spans="2:36" x14ac:dyDescent="0.2">
      <c r="B60" s="118" t="s">
        <v>368</v>
      </c>
      <c r="C60" s="94"/>
      <c r="E60" s="96"/>
      <c r="F60" s="96"/>
      <c r="G60" s="96"/>
      <c r="H60" s="96"/>
      <c r="I60" s="164">
        <f>I58/I$53</f>
        <v>3.2271070686866778E-2</v>
      </c>
      <c r="J60" s="164" t="e">
        <f t="shared" ref="J60:AE60" si="230">J58/J$53</f>
        <v>#DIV/0!</v>
      </c>
      <c r="K60" s="164" t="e">
        <f t="shared" si="230"/>
        <v>#DIV/0!</v>
      </c>
      <c r="L60" s="164" t="e">
        <f t="shared" si="230"/>
        <v>#DIV/0!</v>
      </c>
      <c r="M60" s="164" t="e">
        <f t="shared" si="230"/>
        <v>#DIV/0!</v>
      </c>
      <c r="N60" s="164">
        <f t="shared" si="230"/>
        <v>1.2465364414606913E-2</v>
      </c>
      <c r="O60" s="164" t="e">
        <f t="shared" si="230"/>
        <v>#DIV/0!</v>
      </c>
      <c r="P60" s="164" t="e">
        <f t="shared" si="230"/>
        <v>#DIV/0!</v>
      </c>
      <c r="Q60" s="164" t="e">
        <f t="shared" si="230"/>
        <v>#DIV/0!</v>
      </c>
      <c r="R60" s="164" t="e">
        <f t="shared" si="230"/>
        <v>#DIV/0!</v>
      </c>
      <c r="S60" s="164">
        <f t="shared" si="230"/>
        <v>9.714973606826818E-3</v>
      </c>
      <c r="T60" s="164">
        <f t="shared" si="230"/>
        <v>-1.1197501853107701E-3</v>
      </c>
      <c r="U60" s="164">
        <f t="shared" si="230"/>
        <v>3.1315351394261816E-2</v>
      </c>
      <c r="V60" s="164">
        <f t="shared" si="230"/>
        <v>1.1039306712505166E-2</v>
      </c>
      <c r="W60" s="164">
        <f t="shared" si="230"/>
        <v>2.3814585716647938E-2</v>
      </c>
      <c r="X60" s="164">
        <f t="shared" si="230"/>
        <v>1.820746757807417E-2</v>
      </c>
      <c r="Y60" s="164">
        <f t="shared" si="230"/>
        <v>2.4343998737779034E-2</v>
      </c>
      <c r="Z60" s="164">
        <f t="shared" si="230"/>
        <v>3.8086195317384962E-2</v>
      </c>
      <c r="AA60" s="164">
        <f t="shared" si="230"/>
        <v>4.6567919989872135E-2</v>
      </c>
      <c r="AB60" s="164">
        <f t="shared" si="230"/>
        <v>5.2018588680055142E-2</v>
      </c>
      <c r="AC60" s="164">
        <f t="shared" si="230"/>
        <v>4.0244239841367352E-2</v>
      </c>
      <c r="AD60" s="164">
        <f t="shared" si="230"/>
        <v>4.3880242560481494E-2</v>
      </c>
      <c r="AE60" s="164">
        <f t="shared" si="230"/>
        <v>3.7302087012608072E-2</v>
      </c>
      <c r="AF60" s="164"/>
      <c r="AG60" s="164"/>
      <c r="AH60" s="240">
        <v>0.02</v>
      </c>
      <c r="AI60" s="240">
        <v>1.4999999999999999E-2</v>
      </c>
      <c r="AJ60" s="240">
        <v>0.01</v>
      </c>
    </row>
    <row r="61" spans="2:36" x14ac:dyDescent="0.2">
      <c r="B61" t="s">
        <v>40</v>
      </c>
      <c r="C61" s="94"/>
      <c r="E61" s="96"/>
      <c r="F61" s="96"/>
      <c r="G61" s="96"/>
      <c r="H61" s="96"/>
      <c r="I61" s="157">
        <v>458285</v>
      </c>
      <c r="J61" s="158"/>
      <c r="K61" s="158"/>
      <c r="L61" s="158"/>
      <c r="M61" s="158"/>
      <c r="N61" s="157">
        <v>293781</v>
      </c>
      <c r="O61" s="158"/>
      <c r="P61" s="158"/>
      <c r="Q61" s="158"/>
      <c r="R61" s="158"/>
      <c r="S61" s="157">
        <v>812763</v>
      </c>
      <c r="T61" s="158">
        <v>190008</v>
      </c>
      <c r="U61" s="158">
        <v>348170</v>
      </c>
      <c r="V61" s="158">
        <v>339965</v>
      </c>
      <c r="W61" s="158">
        <f>X61-V61-U61-T61</f>
        <v>303388</v>
      </c>
      <c r="X61" s="157">
        <v>1181531</v>
      </c>
      <c r="Y61" s="158">
        <v>376555</v>
      </c>
      <c r="Z61" s="158">
        <v>448256</v>
      </c>
      <c r="AA61" s="158">
        <v>413342</v>
      </c>
      <c r="AB61" s="158">
        <f>AC61-AA61-Z61-Y61</f>
        <v>382353</v>
      </c>
      <c r="AC61" s="157">
        <v>1620506</v>
      </c>
      <c r="AD61" s="158">
        <v>460656</v>
      </c>
      <c r="AE61" s="158">
        <v>607914</v>
      </c>
      <c r="AF61" s="158"/>
      <c r="AG61" s="158"/>
      <c r="AH61" s="160">
        <f>AH53+AH58</f>
        <v>2047186.2673356002</v>
      </c>
      <c r="AI61" s="160">
        <f t="shared" ref="AI61:AJ61" si="231">AI53+AI58</f>
        <v>2582556.6039815247</v>
      </c>
      <c r="AJ61" s="160">
        <f t="shared" si="231"/>
        <v>3133987.5737544885</v>
      </c>
    </row>
    <row r="62" spans="2:36" x14ac:dyDescent="0.2">
      <c r="B62" s="118" t="s">
        <v>204</v>
      </c>
      <c r="C62" s="94"/>
      <c r="E62" s="96"/>
      <c r="F62" s="96"/>
      <c r="G62" s="96"/>
      <c r="H62" s="96"/>
      <c r="I62" s="162" t="s">
        <v>132</v>
      </c>
      <c r="J62" s="163"/>
      <c r="K62" s="163"/>
      <c r="L62" s="163"/>
      <c r="M62" s="163"/>
      <c r="N62" s="164">
        <f>N61/I61-1</f>
        <v>-0.35895567168901443</v>
      </c>
      <c r="O62" s="164" t="e">
        <f t="shared" ref="O62" si="232">O61/J61-1</f>
        <v>#DIV/0!</v>
      </c>
      <c r="P62" s="164" t="e">
        <f t="shared" ref="P62" si="233">P61/K61-1</f>
        <v>#DIV/0!</v>
      </c>
      <c r="Q62" s="164" t="e">
        <f t="shared" ref="Q62" si="234">Q61/L61-1</f>
        <v>#DIV/0!</v>
      </c>
      <c r="R62" s="164" t="e">
        <f t="shared" ref="R62" si="235">R61/M61-1</f>
        <v>#DIV/0!</v>
      </c>
      <c r="S62" s="164">
        <f t="shared" ref="S62" si="236">S61/N61-1</f>
        <v>1.7665608054979729</v>
      </c>
      <c r="T62" s="164" t="e">
        <f t="shared" ref="T62" si="237">T61/O61-1</f>
        <v>#DIV/0!</v>
      </c>
      <c r="U62" s="164" t="e">
        <f t="shared" ref="U62" si="238">U61/P61-1</f>
        <v>#DIV/0!</v>
      </c>
      <c r="V62" s="164" t="e">
        <f t="shared" ref="V62" si="239">V61/Q61-1</f>
        <v>#DIV/0!</v>
      </c>
      <c r="W62" s="164" t="e">
        <f t="shared" ref="W62" si="240">W61/R61-1</f>
        <v>#DIV/0!</v>
      </c>
      <c r="X62" s="164">
        <f t="shared" ref="X62" si="241">X61/S61-1</f>
        <v>0.45372144155184224</v>
      </c>
      <c r="Y62" s="164">
        <f t="shared" ref="Y62" si="242">Y61/T61-1</f>
        <v>0.98178497747463256</v>
      </c>
      <c r="Z62" s="164">
        <f t="shared" ref="Z62" si="243">Z61/U61-1</f>
        <v>0.28746302093804754</v>
      </c>
      <c r="AA62" s="164">
        <f t="shared" ref="AA62" si="244">AA61/V61-1</f>
        <v>0.21583692438927526</v>
      </c>
      <c r="AB62" s="164">
        <f t="shared" ref="AB62" si="245">AB61/W61-1</f>
        <v>0.26027726871201229</v>
      </c>
      <c r="AC62" s="164">
        <f t="shared" ref="AC62" si="246">AC61/X61-1</f>
        <v>0.37153066656736056</v>
      </c>
      <c r="AD62" s="164">
        <f t="shared" ref="AD62:AE62" si="247">AD61/Y61-1</f>
        <v>0.22334320351608672</v>
      </c>
      <c r="AE62" s="164">
        <f t="shared" si="247"/>
        <v>0.35617593517989721</v>
      </c>
      <c r="AF62" s="164"/>
      <c r="AG62" s="164"/>
      <c r="AH62" s="160"/>
      <c r="AI62" s="160"/>
      <c r="AJ62" s="160"/>
    </row>
    <row r="63" spans="2:36" x14ac:dyDescent="0.2">
      <c r="B63" s="118" t="s">
        <v>206</v>
      </c>
      <c r="C63" s="94"/>
      <c r="E63" s="96"/>
      <c r="F63" s="96"/>
      <c r="G63" s="96"/>
      <c r="H63" s="96"/>
      <c r="I63" s="164">
        <f>I61/I$10</f>
        <v>8.2036292267839803E-2</v>
      </c>
      <c r="J63" s="164" t="e">
        <f t="shared" ref="J63:AB63" si="248">J61/J$10</f>
        <v>#DIV/0!</v>
      </c>
      <c r="K63" s="164" t="e">
        <f t="shared" si="248"/>
        <v>#DIV/0!</v>
      </c>
      <c r="L63" s="164" t="e">
        <f t="shared" si="248"/>
        <v>#DIV/0!</v>
      </c>
      <c r="M63" s="164" t="e">
        <f t="shared" si="248"/>
        <v>#DIV/0!</v>
      </c>
      <c r="N63" s="164">
        <f t="shared" si="248"/>
        <v>4.90892174859816E-2</v>
      </c>
      <c r="O63" s="164" t="e">
        <f t="shared" si="248"/>
        <v>#DIV/0!</v>
      </c>
      <c r="P63" s="164" t="e">
        <f t="shared" si="248"/>
        <v>#DIV/0!</v>
      </c>
      <c r="Q63" s="164" t="e">
        <f t="shared" si="248"/>
        <v>#DIV/0!</v>
      </c>
      <c r="R63" s="164" t="e">
        <f t="shared" si="248"/>
        <v>#DIV/0!</v>
      </c>
      <c r="S63" s="164">
        <f t="shared" si="248"/>
        <v>0.10769265015878367</v>
      </c>
      <c r="T63" s="164">
        <f t="shared" si="248"/>
        <v>9.4038273945714485E-2</v>
      </c>
      <c r="U63" s="164">
        <f t="shared" si="248"/>
        <v>0.15730532015204177</v>
      </c>
      <c r="V63" s="164">
        <f t="shared" si="248"/>
        <v>0.15312531669800805</v>
      </c>
      <c r="W63" s="164">
        <f t="shared" si="248"/>
        <v>0.13913057834108886</v>
      </c>
      <c r="X63" s="164">
        <f t="shared" si="248"/>
        <v>0.13683597208086673</v>
      </c>
      <c r="Y63" s="164">
        <f t="shared" si="248"/>
        <v>0.15897921961681682</v>
      </c>
      <c r="Z63" s="164">
        <f t="shared" si="248"/>
        <v>0.17824710583461673</v>
      </c>
      <c r="AA63" s="164">
        <f t="shared" si="248"/>
        <v>0.16721306435248637</v>
      </c>
      <c r="AB63" s="164">
        <f t="shared" si="248"/>
        <v>0.1519492751319387</v>
      </c>
      <c r="AC63" s="164">
        <f>AC61/AC$10</f>
        <v>0.16415757894147168</v>
      </c>
      <c r="AD63" s="164">
        <f t="shared" ref="AD63:AE63" si="249">AD61/AD$10</f>
        <v>0.17049663785675581</v>
      </c>
      <c r="AE63" s="164">
        <f t="shared" si="249"/>
        <v>0.20447025798177468</v>
      </c>
      <c r="AF63" s="164"/>
      <c r="AG63" s="164"/>
      <c r="AH63" s="160"/>
      <c r="AI63" s="160"/>
      <c r="AJ63" s="160"/>
    </row>
    <row r="64" spans="2:36" x14ac:dyDescent="0.2">
      <c r="B64" t="s">
        <v>39</v>
      </c>
      <c r="C64" s="94"/>
      <c r="E64" s="96"/>
      <c r="F64" s="96"/>
      <c r="G64" s="96"/>
      <c r="H64" s="96"/>
      <c r="I64" s="157">
        <v>-108127</v>
      </c>
      <c r="J64" s="158"/>
      <c r="K64" s="158"/>
      <c r="L64" s="158"/>
      <c r="M64" s="158"/>
      <c r="N64" s="157">
        <v>61985</v>
      </c>
      <c r="O64" s="158"/>
      <c r="P64" s="158"/>
      <c r="Q64" s="158"/>
      <c r="R64" s="158"/>
      <c r="S64" s="157">
        <v>-159779</v>
      </c>
      <c r="T64" s="158">
        <v>-31714</v>
      </c>
      <c r="U64" s="158">
        <v>-88228</v>
      </c>
      <c r="V64" s="158">
        <v>-82827</v>
      </c>
      <c r="W64" s="158">
        <f>X64-V64-U64-T64</f>
        <v>-79661</v>
      </c>
      <c r="X64" s="157">
        <v>-282430</v>
      </c>
      <c r="Y64" s="158">
        <v>-84911</v>
      </c>
      <c r="Z64" s="158">
        <v>-106466</v>
      </c>
      <c r="AA64" s="158">
        <v>-100125</v>
      </c>
      <c r="AB64" s="158">
        <f>AC64-AA64-Z64-Y64</f>
        <v>-100267</v>
      </c>
      <c r="AC64" s="157">
        <v>-391769</v>
      </c>
      <c r="AD64" s="158">
        <v>-101369</v>
      </c>
      <c r="AE64" s="158">
        <v>-152243</v>
      </c>
      <c r="AF64" s="158"/>
      <c r="AG64" s="158"/>
      <c r="AH64" s="160">
        <f>AH66*AH53</f>
        <v>-473616.26096651156</v>
      </c>
      <c r="AI64" s="160">
        <f t="shared" ref="AI64:AJ64" si="250">AI66*AI53</f>
        <v>-621256.52252071921</v>
      </c>
      <c r="AJ64" s="160">
        <f t="shared" si="250"/>
        <v>-776674.41774789291</v>
      </c>
    </row>
    <row r="65" spans="2:36" x14ac:dyDescent="0.2">
      <c r="B65" s="118" t="s">
        <v>204</v>
      </c>
      <c r="I65" s="162" t="s">
        <v>132</v>
      </c>
      <c r="J65" s="163"/>
      <c r="K65" s="163"/>
      <c r="L65" s="163"/>
      <c r="M65" s="163"/>
      <c r="N65" s="164">
        <f>N64/I64-1</f>
        <v>-1.5732610726275582</v>
      </c>
      <c r="O65" s="164" t="e">
        <f t="shared" ref="O65" si="251">O64/J64-1</f>
        <v>#DIV/0!</v>
      </c>
      <c r="P65" s="164" t="e">
        <f t="shared" ref="P65" si="252">P64/K64-1</f>
        <v>#DIV/0!</v>
      </c>
      <c r="Q65" s="164" t="e">
        <f t="shared" ref="Q65" si="253">Q64/L64-1</f>
        <v>#DIV/0!</v>
      </c>
      <c r="R65" s="164" t="e">
        <f t="shared" ref="R65" si="254">R64/M64-1</f>
        <v>#DIV/0!</v>
      </c>
      <c r="S65" s="164">
        <f t="shared" ref="S65" si="255">S64/N64-1</f>
        <v>-3.5777042832943455</v>
      </c>
      <c r="T65" s="164" t="e">
        <f t="shared" ref="T65" si="256">T64/O64-1</f>
        <v>#DIV/0!</v>
      </c>
      <c r="U65" s="164" t="e">
        <f t="shared" ref="U65" si="257">U64/P64-1</f>
        <v>#DIV/0!</v>
      </c>
      <c r="V65" s="164" t="e">
        <f t="shared" ref="V65" si="258">V64/Q64-1</f>
        <v>#DIV/0!</v>
      </c>
      <c r="W65" s="164" t="e">
        <f t="shared" ref="W65" si="259">W64/R64-1</f>
        <v>#DIV/0!</v>
      </c>
      <c r="X65" s="164">
        <f t="shared" ref="X65" si="260">X64/S64-1</f>
        <v>0.76762903760819623</v>
      </c>
      <c r="Y65" s="164">
        <f t="shared" ref="Y65" si="261">Y64/T64-1</f>
        <v>1.6773979945765278</v>
      </c>
      <c r="Z65" s="164">
        <f t="shared" ref="Z65" si="262">Z64/U64-1</f>
        <v>0.20671442172552923</v>
      </c>
      <c r="AA65" s="164">
        <f t="shared" ref="AA65" si="263">AA64/V64-1</f>
        <v>0.2088449418667826</v>
      </c>
      <c r="AB65" s="164">
        <f t="shared" ref="AB65" si="264">AB64/W64-1</f>
        <v>0.25867111886619543</v>
      </c>
      <c r="AC65" s="164">
        <f t="shared" ref="AC65" si="265">AC64/X64-1</f>
        <v>0.38713663562652689</v>
      </c>
      <c r="AD65" s="164">
        <f t="shared" ref="AD65:AE65" si="266">AD64/Y64-1</f>
        <v>0.19382647713488232</v>
      </c>
      <c r="AE65" s="164">
        <f t="shared" si="266"/>
        <v>0.42996825277553397</v>
      </c>
      <c r="AF65" s="164"/>
      <c r="AG65" s="164"/>
      <c r="AH65" s="160"/>
      <c r="AI65" s="160"/>
      <c r="AJ65" s="160"/>
    </row>
    <row r="66" spans="2:36" x14ac:dyDescent="0.2">
      <c r="B66" s="118" t="s">
        <v>313</v>
      </c>
      <c r="C66" s="94"/>
      <c r="E66" s="96"/>
      <c r="F66" s="96"/>
      <c r="G66" s="96"/>
      <c r="H66" s="96"/>
      <c r="I66" s="164">
        <f t="shared" ref="I66:AD66" si="267">I64/I$53</f>
        <v>-0.2435523180120642</v>
      </c>
      <c r="J66" s="164" t="e">
        <f t="shared" si="267"/>
        <v>#DIV/0!</v>
      </c>
      <c r="K66" s="164" t="e">
        <f t="shared" si="267"/>
        <v>#DIV/0!</v>
      </c>
      <c r="L66" s="164" t="e">
        <f t="shared" si="267"/>
        <v>#DIV/0!</v>
      </c>
      <c r="M66" s="164" t="e">
        <f t="shared" si="267"/>
        <v>#DIV/0!</v>
      </c>
      <c r="N66" s="164">
        <f t="shared" si="267"/>
        <v>0.2136205731930908</v>
      </c>
      <c r="O66" s="164" t="e">
        <f t="shared" si="267"/>
        <v>#DIV/0!</v>
      </c>
      <c r="P66" s="164" t="e">
        <f t="shared" si="267"/>
        <v>#DIV/0!</v>
      </c>
      <c r="Q66" s="164" t="e">
        <f t="shared" si="267"/>
        <v>#DIV/0!</v>
      </c>
      <c r="R66" s="164" t="e">
        <f t="shared" si="267"/>
        <v>#DIV/0!</v>
      </c>
      <c r="S66" s="164">
        <f t="shared" si="267"/>
        <v>-0.19849728490091845</v>
      </c>
      <c r="T66" s="164">
        <f t="shared" si="267"/>
        <v>-0.16672186561946367</v>
      </c>
      <c r="U66" s="164">
        <f t="shared" si="267"/>
        <v>-0.2613404107844241</v>
      </c>
      <c r="V66" s="164">
        <f t="shared" si="267"/>
        <v>-0.24632345287625687</v>
      </c>
      <c r="W66" s="164">
        <f t="shared" si="267"/>
        <v>-0.26882438894344501</v>
      </c>
      <c r="X66" s="164">
        <f t="shared" si="267"/>
        <v>-0.24338958103348579</v>
      </c>
      <c r="Y66" s="164">
        <f t="shared" si="267"/>
        <v>-0.23098371626143208</v>
      </c>
      <c r="Z66" s="164">
        <f t="shared" si="267"/>
        <v>-0.24655751372131263</v>
      </c>
      <c r="AA66" s="164">
        <f t="shared" si="267"/>
        <v>-0.25351310292442081</v>
      </c>
      <c r="AB66" s="164">
        <f t="shared" si="267"/>
        <v>-0.27587791342341522</v>
      </c>
      <c r="AC66" s="164">
        <f t="shared" si="267"/>
        <v>-0.25148653914173269</v>
      </c>
      <c r="AD66" s="164">
        <f t="shared" si="267"/>
        <v>-0.2297095800513039</v>
      </c>
      <c r="AE66" s="164">
        <f>AE64/AE$53</f>
        <v>-0.25977684612142588</v>
      </c>
      <c r="AF66" s="164"/>
      <c r="AG66" s="164"/>
      <c r="AH66" s="240">
        <v>-0.26</v>
      </c>
      <c r="AI66" s="240">
        <f>AH66</f>
        <v>-0.26</v>
      </c>
      <c r="AJ66" s="240">
        <f>AI66</f>
        <v>-0.26</v>
      </c>
    </row>
    <row r="67" spans="2:36" s="11" customFormat="1" x14ac:dyDescent="0.2">
      <c r="B67" s="123" t="s">
        <v>38</v>
      </c>
      <c r="C67" s="122"/>
      <c r="D67" s="123"/>
      <c r="E67" s="124"/>
      <c r="F67" s="124"/>
      <c r="G67" s="124"/>
      <c r="H67" s="124"/>
      <c r="I67" s="166">
        <v>350158</v>
      </c>
      <c r="J67" s="167"/>
      <c r="K67" s="167"/>
      <c r="L67" s="167"/>
      <c r="M67" s="167"/>
      <c r="N67" s="166">
        <v>355766</v>
      </c>
      <c r="O67" s="167"/>
      <c r="P67" s="167"/>
      <c r="Q67" s="167"/>
      <c r="R67" s="167"/>
      <c r="S67" s="166">
        <v>652984</v>
      </c>
      <c r="T67" s="167">
        <v>158294</v>
      </c>
      <c r="U67" s="167">
        <v>259942</v>
      </c>
      <c r="V67" s="167">
        <v>257138</v>
      </c>
      <c r="W67" s="169">
        <f>X67-V67-U67-T67</f>
        <v>223727</v>
      </c>
      <c r="X67" s="166">
        <v>899101</v>
      </c>
      <c r="Y67" s="167">
        <v>291644</v>
      </c>
      <c r="Z67" s="167">
        <v>341790</v>
      </c>
      <c r="AA67" s="167">
        <v>313217</v>
      </c>
      <c r="AB67" s="167">
        <f>AC67-AA67-Z67-Y67</f>
        <v>282086</v>
      </c>
      <c r="AC67" s="166">
        <v>1228737</v>
      </c>
      <c r="AD67" s="167">
        <v>359287</v>
      </c>
      <c r="AE67" s="167">
        <v>455671</v>
      </c>
      <c r="AF67" s="167"/>
      <c r="AG67" s="169"/>
      <c r="AH67" s="168">
        <f>AH61+AH64</f>
        <v>1573570.0063690888</v>
      </c>
      <c r="AI67" s="168">
        <f t="shared" ref="AI67:AJ67" si="268">AI61+AI64</f>
        <v>1961300.0814608056</v>
      </c>
      <c r="AJ67" s="168">
        <f t="shared" si="268"/>
        <v>2357313.1560065956</v>
      </c>
    </row>
    <row r="68" spans="2:36" s="11" customFormat="1" x14ac:dyDescent="0.2">
      <c r="B68" s="118" t="s">
        <v>204</v>
      </c>
      <c r="C68" s="104"/>
      <c r="E68" s="106"/>
      <c r="F68" s="106"/>
      <c r="G68" s="106"/>
      <c r="H68" s="106"/>
      <c r="I68" s="162" t="s">
        <v>132</v>
      </c>
      <c r="J68" s="163"/>
      <c r="K68" s="163"/>
      <c r="L68" s="163"/>
      <c r="M68" s="163"/>
      <c r="N68" s="164">
        <f>N67/I67-1</f>
        <v>1.6015627231135587E-2</v>
      </c>
      <c r="O68" s="164" t="e">
        <f t="shared" ref="O68" si="269">O67/J67-1</f>
        <v>#DIV/0!</v>
      </c>
      <c r="P68" s="164" t="e">
        <f t="shared" ref="P68" si="270">P67/K67-1</f>
        <v>#DIV/0!</v>
      </c>
      <c r="Q68" s="164" t="e">
        <f t="shared" ref="Q68" si="271">Q67/L67-1</f>
        <v>#DIV/0!</v>
      </c>
      <c r="R68" s="164" t="e">
        <f t="shared" ref="R68" si="272">R67/M67-1</f>
        <v>#DIV/0!</v>
      </c>
      <c r="S68" s="164">
        <f t="shared" ref="S68" si="273">S67/N67-1</f>
        <v>0.83543115418561631</v>
      </c>
      <c r="T68" s="164" t="e">
        <f t="shared" ref="T68" si="274">T67/O67-1</f>
        <v>#DIV/0!</v>
      </c>
      <c r="U68" s="164" t="e">
        <f t="shared" ref="U68" si="275">U67/P67-1</f>
        <v>#DIV/0!</v>
      </c>
      <c r="V68" s="164" t="e">
        <f t="shared" ref="V68" si="276">V67/Q67-1</f>
        <v>#DIV/0!</v>
      </c>
      <c r="W68" s="164" t="e">
        <f t="shared" ref="W68" si="277">W67/R67-1</f>
        <v>#DIV/0!</v>
      </c>
      <c r="X68" s="164">
        <f t="shared" ref="X68" si="278">X67/S67-1</f>
        <v>0.37691122600247473</v>
      </c>
      <c r="Y68" s="164">
        <f t="shared" ref="Y68" si="279">Y67/T67-1</f>
        <v>0.84241980112954384</v>
      </c>
      <c r="Z68" s="164">
        <f t="shared" ref="Z68" si="280">Z67/U67-1</f>
        <v>0.31487024028437105</v>
      </c>
      <c r="AA68" s="164">
        <f t="shared" ref="AA68" si="281">AA67/V67-1</f>
        <v>0.2180891194611454</v>
      </c>
      <c r="AB68" s="164">
        <f t="shared" ref="AB68" si="282">AB67/W67-1</f>
        <v>0.26084915991364466</v>
      </c>
      <c r="AC68" s="164">
        <f t="shared" ref="AC68" si="283">AC67/X67-1</f>
        <v>0.36662844330058575</v>
      </c>
      <c r="AD68" s="164">
        <f t="shared" ref="AD68:AE68" si="284">AD67/Y67-1</f>
        <v>0.23193688195196893</v>
      </c>
      <c r="AE68" s="164">
        <f t="shared" si="284"/>
        <v>0.33318997044969123</v>
      </c>
      <c r="AF68" s="164"/>
      <c r="AG68" s="164"/>
      <c r="AH68" s="160"/>
      <c r="AI68" s="160"/>
      <c r="AJ68" s="160"/>
    </row>
    <row r="69" spans="2:36" s="11" customFormat="1" x14ac:dyDescent="0.2">
      <c r="B69" s="132" t="s">
        <v>215</v>
      </c>
      <c r="C69" s="136"/>
      <c r="D69" s="137"/>
      <c r="E69" s="138"/>
      <c r="F69" s="138"/>
      <c r="G69" s="138"/>
      <c r="H69" s="138"/>
      <c r="I69" s="172">
        <f>I67/I$10</f>
        <v>6.2680786034721298E-2</v>
      </c>
      <c r="J69" s="172" t="e">
        <f t="shared" ref="J69:AB69" si="285">J67/J$10</f>
        <v>#DIV/0!</v>
      </c>
      <c r="K69" s="172" t="e">
        <f t="shared" si="285"/>
        <v>#DIV/0!</v>
      </c>
      <c r="L69" s="172" t="e">
        <f t="shared" si="285"/>
        <v>#DIV/0!</v>
      </c>
      <c r="M69" s="172" t="e">
        <f t="shared" si="285"/>
        <v>#DIV/0!</v>
      </c>
      <c r="N69" s="172">
        <f t="shared" si="285"/>
        <v>5.9446576014506487E-2</v>
      </c>
      <c r="O69" s="172" t="e">
        <f t="shared" si="285"/>
        <v>#DIV/0!</v>
      </c>
      <c r="P69" s="172" t="e">
        <f t="shared" si="285"/>
        <v>#DIV/0!</v>
      </c>
      <c r="Q69" s="172" t="e">
        <f t="shared" si="285"/>
        <v>#DIV/0!</v>
      </c>
      <c r="R69" s="172" t="e">
        <f t="shared" si="285"/>
        <v>#DIV/0!</v>
      </c>
      <c r="S69" s="172">
        <f t="shared" si="285"/>
        <v>8.6521627425563408E-2</v>
      </c>
      <c r="T69" s="172">
        <f t="shared" si="285"/>
        <v>7.8342462085611811E-2</v>
      </c>
      <c r="U69" s="172">
        <f t="shared" si="285"/>
        <v>0.1174433740154581</v>
      </c>
      <c r="V69" s="172">
        <f t="shared" si="285"/>
        <v>0.11581879806771989</v>
      </c>
      <c r="W69" s="172">
        <f t="shared" si="285"/>
        <v>0.10259887306194307</v>
      </c>
      <c r="X69" s="172">
        <f t="shared" si="285"/>
        <v>0.1041270684678433</v>
      </c>
      <c r="Y69" s="172">
        <f t="shared" si="285"/>
        <v>0.12313031436556925</v>
      </c>
      <c r="Z69" s="172">
        <f t="shared" si="285"/>
        <v>0.13591135044084998</v>
      </c>
      <c r="AA69" s="172">
        <f t="shared" si="285"/>
        <v>0.12670857153953077</v>
      </c>
      <c r="AB69" s="172">
        <f t="shared" si="285"/>
        <v>0.11210259426464042</v>
      </c>
      <c r="AC69" s="172">
        <f>AC67/AC$10</f>
        <v>0.12447130160320732</v>
      </c>
      <c r="AD69" s="172">
        <f t="shared" ref="AD69:AJ69" si="286">AD67/AD$10</f>
        <v>0.13297824303957884</v>
      </c>
      <c r="AE69" s="172">
        <f t="shared" si="286"/>
        <v>0.15326372961440804</v>
      </c>
      <c r="AF69" s="172"/>
      <c r="AG69" s="172"/>
      <c r="AH69" s="172">
        <f>AH67/AH$10</f>
        <v>0.13951</v>
      </c>
      <c r="AI69" s="172">
        <f t="shared" si="286"/>
        <v>0.15234704995200668</v>
      </c>
      <c r="AJ69" s="172">
        <f t="shared" si="286"/>
        <v>0.16060368337461017</v>
      </c>
    </row>
    <row r="70" spans="2:36" s="11" customFormat="1" x14ac:dyDescent="0.2">
      <c r="B70" s="286" t="s">
        <v>302</v>
      </c>
      <c r="C70" s="136"/>
      <c r="D70" s="137"/>
      <c r="E70" s="138"/>
      <c r="F70" s="138"/>
      <c r="G70" s="138"/>
      <c r="H70" s="138"/>
      <c r="I70" s="435">
        <v>392400</v>
      </c>
      <c r="J70" s="435"/>
      <c r="K70" s="435"/>
      <c r="L70" s="435"/>
      <c r="M70" s="435"/>
      <c r="N70" s="435">
        <v>311400</v>
      </c>
      <c r="O70" s="435"/>
      <c r="P70" s="435"/>
      <c r="Q70" s="435"/>
      <c r="R70" s="435"/>
      <c r="S70" s="435">
        <v>713200</v>
      </c>
      <c r="T70" s="435"/>
      <c r="U70" s="435"/>
      <c r="V70" s="435"/>
      <c r="W70" s="435"/>
      <c r="X70" s="435">
        <v>935000</v>
      </c>
      <c r="Y70" s="435"/>
      <c r="Z70" s="435"/>
      <c r="AA70" s="435"/>
      <c r="AB70" s="435"/>
      <c r="AC70" s="435">
        <v>1222100</v>
      </c>
      <c r="AD70" s="435"/>
      <c r="AE70" s="435"/>
      <c r="AF70" s="435"/>
      <c r="AG70" s="435"/>
      <c r="AH70" s="435">
        <v>1494100</v>
      </c>
      <c r="AI70" s="435">
        <v>1763800</v>
      </c>
      <c r="AJ70" s="435">
        <v>2064600</v>
      </c>
    </row>
    <row r="71" spans="2:36" s="11" customFormat="1" x14ac:dyDescent="0.2">
      <c r="B71" s="132"/>
      <c r="C71" s="136"/>
      <c r="D71" s="137"/>
      <c r="E71" s="138"/>
      <c r="F71" s="138"/>
      <c r="G71" s="138"/>
      <c r="H71" s="138"/>
      <c r="I71" s="172"/>
      <c r="J71" s="172"/>
      <c r="K71" s="172"/>
      <c r="L71" s="172"/>
      <c r="M71" s="172"/>
      <c r="N71" s="172"/>
      <c r="O71" s="172"/>
      <c r="P71" s="172"/>
      <c r="Q71" s="172"/>
      <c r="R71" s="172"/>
      <c r="S71" s="172"/>
      <c r="T71" s="172"/>
      <c r="U71" s="172"/>
      <c r="V71" s="172"/>
      <c r="W71" s="172"/>
      <c r="X71" s="172"/>
      <c r="Y71" s="172"/>
      <c r="Z71" s="172"/>
      <c r="AA71" s="172"/>
      <c r="AB71" s="172"/>
      <c r="AC71" s="172"/>
      <c r="AD71" s="172"/>
      <c r="AE71" s="172"/>
      <c r="AF71" s="172"/>
      <c r="AG71" s="172"/>
      <c r="AH71" s="172"/>
      <c r="AI71" s="172"/>
      <c r="AJ71" s="172"/>
    </row>
    <row r="72" spans="2:36" s="11" customFormat="1" x14ac:dyDescent="0.2">
      <c r="B72" s="123" t="s">
        <v>125</v>
      </c>
      <c r="C72" s="122"/>
      <c r="D72" s="123"/>
      <c r="E72" s="124"/>
      <c r="F72" s="124"/>
      <c r="G72" s="124"/>
      <c r="H72" s="124"/>
      <c r="I72" s="166">
        <f>I53+I95</f>
        <v>656736</v>
      </c>
      <c r="J72" s="167"/>
      <c r="K72" s="167"/>
      <c r="L72" s="167"/>
      <c r="M72" s="167"/>
      <c r="N72" s="166">
        <f>N53+N95</f>
        <v>528698</v>
      </c>
      <c r="O72" s="167"/>
      <c r="P72" s="167"/>
      <c r="Q72" s="167"/>
      <c r="R72" s="167"/>
      <c r="S72" s="166">
        <f>S53+S95</f>
        <v>1059600</v>
      </c>
      <c r="T72" s="167">
        <v>158294</v>
      </c>
      <c r="U72" s="167">
        <v>259942</v>
      </c>
      <c r="V72" s="167">
        <v>257138</v>
      </c>
      <c r="W72" s="169">
        <f>X72-V72-U72-T72</f>
        <v>771855</v>
      </c>
      <c r="X72" s="166">
        <f>X53+X95</f>
        <v>1447229</v>
      </c>
      <c r="Y72" s="167">
        <v>291644</v>
      </c>
      <c r="Z72" s="167">
        <v>341790</v>
      </c>
      <c r="AA72" s="167">
        <v>313217</v>
      </c>
      <c r="AB72" s="167">
        <f>AC72-AA72-Z72-Y72</f>
        <v>930556</v>
      </c>
      <c r="AC72" s="166">
        <f>AC53+AC95</f>
        <v>1877207</v>
      </c>
      <c r="AD72" s="167">
        <f>AD53+AD31</f>
        <v>524535</v>
      </c>
      <c r="AE72" s="167">
        <f>AE53+AE31</f>
        <v>669615</v>
      </c>
      <c r="AF72" s="167"/>
      <c r="AG72" s="169"/>
      <c r="AH72" s="166"/>
      <c r="AI72" s="166"/>
      <c r="AJ72" s="166"/>
    </row>
    <row r="73" spans="2:36" s="11" customFormat="1" x14ac:dyDescent="0.2">
      <c r="B73" s="118" t="s">
        <v>204</v>
      </c>
      <c r="C73" s="104"/>
      <c r="E73" s="106"/>
      <c r="F73" s="106"/>
      <c r="G73" s="106"/>
      <c r="H73" s="106"/>
      <c r="I73" s="162" t="s">
        <v>132</v>
      </c>
      <c r="J73" s="163"/>
      <c r="K73" s="163"/>
      <c r="L73" s="163"/>
      <c r="M73" s="163"/>
      <c r="N73" s="164">
        <f>N72/I72-1</f>
        <v>-0.1949611411587</v>
      </c>
      <c r="O73" s="164" t="e">
        <f t="shared" ref="O73" si="287">O72/J72-1</f>
        <v>#DIV/0!</v>
      </c>
      <c r="P73" s="164" t="e">
        <f t="shared" ref="P73" si="288">P72/K72-1</f>
        <v>#DIV/0!</v>
      </c>
      <c r="Q73" s="164" t="e">
        <f t="shared" ref="Q73" si="289">Q72/L72-1</f>
        <v>#DIV/0!</v>
      </c>
      <c r="R73" s="164" t="e">
        <f t="shared" ref="R73" si="290">R72/M72-1</f>
        <v>#DIV/0!</v>
      </c>
      <c r="S73" s="164">
        <f t="shared" ref="S73" si="291">S72/N72-1</f>
        <v>1.0041687314875412</v>
      </c>
      <c r="T73" s="164" t="e">
        <f t="shared" ref="T73" si="292">T72/O72-1</f>
        <v>#DIV/0!</v>
      </c>
      <c r="U73" s="164" t="e">
        <f t="shared" ref="U73" si="293">U72/P72-1</f>
        <v>#DIV/0!</v>
      </c>
      <c r="V73" s="164" t="e">
        <f t="shared" ref="V73" si="294">V72/Q72-1</f>
        <v>#DIV/0!</v>
      </c>
      <c r="W73" s="164" t="e">
        <f t="shared" ref="W73" si="295">W72/R72-1</f>
        <v>#DIV/0!</v>
      </c>
      <c r="X73" s="164">
        <f t="shared" ref="X73" si="296">X72/S72-1</f>
        <v>0.36582578331445825</v>
      </c>
      <c r="Y73" s="164">
        <f t="shared" ref="Y73" si="297">Y72/T72-1</f>
        <v>0.84241980112954384</v>
      </c>
      <c r="Z73" s="164">
        <f t="shared" ref="Z73" si="298">Z72/U72-1</f>
        <v>0.31487024028437105</v>
      </c>
      <c r="AA73" s="164">
        <f t="shared" ref="AA73" si="299">AA72/V72-1</f>
        <v>0.2180891194611454</v>
      </c>
      <c r="AB73" s="164">
        <f t="shared" ref="AB73" si="300">AB72/W72-1</f>
        <v>0.20560986195593722</v>
      </c>
      <c r="AC73" s="164">
        <f t="shared" ref="AC73" si="301">AC72/X72-1</f>
        <v>0.29710432834057365</v>
      </c>
      <c r="AD73" s="164">
        <f t="shared" ref="AD73" si="302">AD72/Y72-1</f>
        <v>0.7985454869635582</v>
      </c>
      <c r="AE73" s="164"/>
      <c r="AF73" s="164"/>
      <c r="AG73" s="164"/>
      <c r="AH73" s="160"/>
      <c r="AI73" s="160"/>
      <c r="AJ73" s="160"/>
    </row>
    <row r="74" spans="2:36" s="11" customFormat="1" x14ac:dyDescent="0.2">
      <c r="B74" s="132" t="s">
        <v>215</v>
      </c>
      <c r="C74" s="136"/>
      <c r="D74" s="137"/>
      <c r="E74" s="138"/>
      <c r="F74" s="138"/>
      <c r="G74" s="138"/>
      <c r="H74" s="138"/>
      <c r="I74" s="172">
        <f>I72/I$10</f>
        <v>0.11756044042203442</v>
      </c>
      <c r="J74" s="172" t="e">
        <f t="shared" ref="J74:AB74" si="303">J72/J$10</f>
        <v>#DIV/0!</v>
      </c>
      <c r="K74" s="172" t="e">
        <f t="shared" si="303"/>
        <v>#DIV/0!</v>
      </c>
      <c r="L74" s="172" t="e">
        <f t="shared" si="303"/>
        <v>#DIV/0!</v>
      </c>
      <c r="M74" s="172" t="e">
        <f t="shared" si="303"/>
        <v>#DIV/0!</v>
      </c>
      <c r="N74" s="172">
        <f t="shared" si="303"/>
        <v>8.8342578677325964E-2</v>
      </c>
      <c r="O74" s="172" t="e">
        <f t="shared" si="303"/>
        <v>#DIV/0!</v>
      </c>
      <c r="P74" s="172" t="e">
        <f t="shared" si="303"/>
        <v>#DIV/0!</v>
      </c>
      <c r="Q74" s="172" t="e">
        <f t="shared" si="303"/>
        <v>#DIV/0!</v>
      </c>
      <c r="R74" s="172" t="e">
        <f t="shared" si="303"/>
        <v>#DIV/0!</v>
      </c>
      <c r="S74" s="172">
        <f t="shared" si="303"/>
        <v>0.14039902420293143</v>
      </c>
      <c r="T74" s="172">
        <f t="shared" si="303"/>
        <v>7.8342462085611811E-2</v>
      </c>
      <c r="U74" s="172">
        <f t="shared" si="303"/>
        <v>0.1174433740154581</v>
      </c>
      <c r="V74" s="172">
        <f t="shared" si="303"/>
        <v>0.11581879806771989</v>
      </c>
      <c r="W74" s="172">
        <f t="shared" si="303"/>
        <v>0.35396466750649708</v>
      </c>
      <c r="X74" s="172">
        <f t="shared" si="303"/>
        <v>0.16760710217389191</v>
      </c>
      <c r="Y74" s="172">
        <f t="shared" si="303"/>
        <v>0.12313031436556925</v>
      </c>
      <c r="Z74" s="172">
        <f t="shared" si="303"/>
        <v>0.13591135044084998</v>
      </c>
      <c r="AA74" s="172">
        <f t="shared" si="303"/>
        <v>0.12670857153953077</v>
      </c>
      <c r="AB74" s="172">
        <f t="shared" si="303"/>
        <v>0.36980829147326255</v>
      </c>
      <c r="AC74" s="172">
        <f>AC72/AC$10</f>
        <v>0.19016144111282726</v>
      </c>
      <c r="AD74" s="172">
        <f t="shared" ref="AD74:AE74" si="304">AD72/AD$10</f>
        <v>0.19413934462634463</v>
      </c>
      <c r="AE74" s="172">
        <f t="shared" si="304"/>
        <v>0.22522322532211145</v>
      </c>
      <c r="AF74" s="172"/>
      <c r="AG74" s="172"/>
      <c r="AH74" s="172"/>
      <c r="AI74" s="172"/>
      <c r="AJ74" s="172"/>
    </row>
    <row r="75" spans="2:36" s="11" customFormat="1" x14ac:dyDescent="0.2">
      <c r="B75" s="132"/>
      <c r="C75" s="136"/>
      <c r="D75" s="137"/>
      <c r="E75" s="138"/>
      <c r="F75" s="138"/>
      <c r="G75" s="138"/>
      <c r="H75" s="138"/>
      <c r="I75" s="172"/>
      <c r="J75" s="172"/>
      <c r="K75" s="172"/>
      <c r="L75" s="172"/>
      <c r="M75" s="172"/>
      <c r="N75" s="172"/>
      <c r="O75" s="172"/>
      <c r="P75" s="172"/>
      <c r="Q75" s="172"/>
      <c r="R75" s="172"/>
      <c r="S75" s="172"/>
      <c r="T75" s="172"/>
      <c r="U75" s="172"/>
      <c r="V75" s="172"/>
      <c r="W75" s="172"/>
      <c r="X75" s="172"/>
      <c r="Y75" s="172"/>
      <c r="Z75" s="172"/>
      <c r="AA75" s="172"/>
      <c r="AB75" s="172"/>
      <c r="AC75" s="172"/>
      <c r="AD75" s="172"/>
      <c r="AE75" s="172"/>
      <c r="AF75" s="172"/>
      <c r="AG75" s="172"/>
      <c r="AH75" s="172"/>
      <c r="AI75" s="172"/>
      <c r="AJ75" s="172"/>
    </row>
    <row r="76" spans="2:36" s="11" customFormat="1" x14ac:dyDescent="0.2">
      <c r="B76" s="11" t="s">
        <v>37</v>
      </c>
      <c r="C76" s="104"/>
      <c r="E76" s="106"/>
      <c r="F76" s="106"/>
      <c r="G76" s="106"/>
      <c r="H76" s="106"/>
      <c r="I76" s="171"/>
      <c r="J76" s="158"/>
      <c r="K76" s="158"/>
      <c r="L76" s="158"/>
      <c r="M76" s="158"/>
      <c r="N76" s="171"/>
      <c r="O76" s="158"/>
      <c r="P76" s="158"/>
      <c r="Q76" s="158"/>
      <c r="R76" s="158"/>
      <c r="S76" s="171"/>
      <c r="T76" s="158"/>
      <c r="U76" s="158"/>
      <c r="V76" s="158"/>
      <c r="W76" s="158"/>
      <c r="X76" s="171"/>
      <c r="Y76" s="158"/>
      <c r="Z76" s="158"/>
      <c r="AA76" s="158"/>
      <c r="AB76" s="158"/>
      <c r="AC76" s="171"/>
      <c r="AD76" s="169"/>
      <c r="AE76" s="170"/>
      <c r="AF76" s="170"/>
      <c r="AG76" s="170"/>
      <c r="AH76" s="160"/>
      <c r="AI76" s="160"/>
      <c r="AJ76" s="160"/>
    </row>
    <row r="77" spans="2:36" x14ac:dyDescent="0.2">
      <c r="B77" t="s">
        <v>35</v>
      </c>
      <c r="C77" s="94"/>
      <c r="E77" s="96"/>
      <c r="F77" s="96"/>
      <c r="G77" s="96"/>
      <c r="H77" s="96"/>
      <c r="I77" s="173">
        <f>I67/I82</f>
        <v>0.25245710165825525</v>
      </c>
      <c r="J77" s="173"/>
      <c r="K77" s="173"/>
      <c r="L77" s="173"/>
      <c r="M77" s="173"/>
      <c r="N77" s="173">
        <f t="shared" ref="N77:S77" si="305">N67/N82</f>
        <v>0.25487409105562919</v>
      </c>
      <c r="O77" s="173"/>
      <c r="P77" s="173"/>
      <c r="Q77" s="173"/>
      <c r="R77" s="173"/>
      <c r="S77" s="173">
        <f t="shared" si="305"/>
        <v>0.46422863642826673</v>
      </c>
      <c r="T77" s="173">
        <f t="shared" ref="T77:AA77" si="306">T67/T82</f>
        <v>0.11289377028135364</v>
      </c>
      <c r="U77" s="173">
        <f t="shared" si="306"/>
        <v>0.18630496326823151</v>
      </c>
      <c r="V77" s="173">
        <f>V67/V82</f>
        <v>0.18517120944802506</v>
      </c>
      <c r="W77" s="173">
        <f>X77-V77-U77-T77</f>
        <v>0.16128084153436348</v>
      </c>
      <c r="X77" s="173">
        <f t="shared" si="306"/>
        <v>0.64565078453197366</v>
      </c>
      <c r="Y77" s="173">
        <f t="shared" si="306"/>
        <v>0.21115262090935419</v>
      </c>
      <c r="Z77" s="173">
        <f t="shared" si="306"/>
        <v>0.24763802347485872</v>
      </c>
      <c r="AA77" s="173">
        <f t="shared" si="306"/>
        <v>0.22738076225045373</v>
      </c>
      <c r="AB77" s="173">
        <f>AC77-AA77-Z77-Y77</f>
        <v>0.20567181601095116</v>
      </c>
      <c r="AC77" s="173">
        <f>AC67/AC82</f>
        <v>0.89184322264561788</v>
      </c>
      <c r="AD77" s="173">
        <f>AD67/AD82</f>
        <v>0.26183282320361462</v>
      </c>
      <c r="AE77" s="173">
        <f>AE67/AE82</f>
        <v>0.33192817599067598</v>
      </c>
      <c r="AF77" s="160"/>
      <c r="AG77" s="160"/>
      <c r="AH77" s="288">
        <f>AH67/AH82</f>
        <v>1.1462485477630309</v>
      </c>
      <c r="AI77" s="288">
        <f t="shared" ref="AI77:AJ77" si="307">AI67/AI82</f>
        <v>1.4293106554881254</v>
      </c>
      <c r="AJ77" s="288">
        <f t="shared" si="307"/>
        <v>1.7179078530874476</v>
      </c>
    </row>
    <row r="78" spans="2:36" x14ac:dyDescent="0.2">
      <c r="B78" s="126" t="s">
        <v>34</v>
      </c>
      <c r="C78" s="127"/>
      <c r="D78" s="126"/>
      <c r="E78" s="128"/>
      <c r="F78" s="128"/>
      <c r="G78" s="128"/>
      <c r="H78" s="128"/>
      <c r="I78" s="129">
        <f t="shared" ref="I78:S78" si="308">I67/I83</f>
        <v>0.24750521293514754</v>
      </c>
      <c r="J78" s="129"/>
      <c r="K78" s="129"/>
      <c r="L78" s="129"/>
      <c r="M78" s="129"/>
      <c r="N78" s="129">
        <f t="shared" si="308"/>
        <v>0.2503983671171171</v>
      </c>
      <c r="O78" s="129"/>
      <c r="P78" s="129"/>
      <c r="Q78" s="129"/>
      <c r="R78" s="129"/>
      <c r="S78" s="129">
        <f t="shared" si="308"/>
        <v>0.4580575918066711</v>
      </c>
      <c r="T78" s="129">
        <f t="shared" ref="T78:AA78" si="309">T67/T83</f>
        <v>0.11186459842408396</v>
      </c>
      <c r="U78" s="129">
        <f t="shared" si="309"/>
        <v>0.18506478712800797</v>
      </c>
      <c r="V78" s="129">
        <f t="shared" si="309"/>
        <v>0.1839590785520103</v>
      </c>
      <c r="W78" s="129">
        <f>X78-V78-U78-T78</f>
        <v>0.15990763025838078</v>
      </c>
      <c r="X78" s="129">
        <f t="shared" si="309"/>
        <v>0.64079609436248308</v>
      </c>
      <c r="Y78" s="129">
        <f t="shared" si="309"/>
        <v>0.20990643443212897</v>
      </c>
      <c r="Z78" s="129">
        <f t="shared" si="309"/>
        <v>0.24636176883987457</v>
      </c>
      <c r="AA78" s="129">
        <f t="shared" si="309"/>
        <v>0.22630468552436689</v>
      </c>
      <c r="AB78" s="129">
        <f>AC78-AA78-Z78-Y78</f>
        <v>0.20428167634256855</v>
      </c>
      <c r="AC78" s="129">
        <f>AC67/AC83</f>
        <v>0.88685456513893901</v>
      </c>
      <c r="AD78" s="129">
        <f>AD67/AD83</f>
        <v>0.26012670141905592</v>
      </c>
      <c r="AE78" s="129">
        <f>AE67/AE83</f>
        <v>0.32983355989570895</v>
      </c>
      <c r="AF78" s="130"/>
      <c r="AG78" s="130"/>
      <c r="AH78" s="287">
        <f>AH67/AH83</f>
        <v>1.1390152038330943</v>
      </c>
      <c r="AI78" s="287">
        <f t="shared" ref="AI78:AJ78" si="310">AI67/AI83</f>
        <v>1.4199971629458483</v>
      </c>
      <c r="AJ78" s="287">
        <f t="shared" si="310"/>
        <v>1.7067138401437849</v>
      </c>
    </row>
    <row r="79" spans="2:36" x14ac:dyDescent="0.2">
      <c r="B79" s="286" t="s">
        <v>302</v>
      </c>
      <c r="C79" s="94"/>
      <c r="E79" s="96"/>
      <c r="F79" s="96"/>
      <c r="G79" s="96"/>
      <c r="H79" s="96"/>
      <c r="I79" s="289">
        <v>0.28000000000000003</v>
      </c>
      <c r="J79" s="158"/>
      <c r="K79" s="158"/>
      <c r="L79" s="158"/>
      <c r="M79" s="158"/>
      <c r="N79" s="289">
        <v>0.21</v>
      </c>
      <c r="O79" s="158"/>
      <c r="P79" s="158"/>
      <c r="Q79" s="158"/>
      <c r="R79" s="158"/>
      <c r="S79" s="289">
        <v>0.51</v>
      </c>
      <c r="T79" s="158"/>
      <c r="U79" s="158"/>
      <c r="V79" s="158"/>
      <c r="W79" s="158"/>
      <c r="X79" s="289">
        <v>0.66</v>
      </c>
      <c r="Y79" s="158"/>
      <c r="Z79" s="158"/>
      <c r="AA79" s="158"/>
      <c r="AB79" s="158"/>
      <c r="AC79" s="289">
        <v>0.9</v>
      </c>
      <c r="AD79" s="158"/>
      <c r="AE79" s="160"/>
      <c r="AF79" s="160"/>
      <c r="AG79" s="160"/>
      <c r="AH79" s="289">
        <v>1.1200000000000001</v>
      </c>
      <c r="AI79" s="289">
        <v>1.35</v>
      </c>
      <c r="AJ79" s="289">
        <v>1.61</v>
      </c>
    </row>
    <row r="80" spans="2:36" x14ac:dyDescent="0.2">
      <c r="C80" s="94"/>
      <c r="E80" s="96"/>
      <c r="F80" s="96"/>
      <c r="G80" s="96"/>
      <c r="H80" s="96"/>
      <c r="I80" s="157"/>
      <c r="J80" s="158"/>
      <c r="K80" s="158"/>
      <c r="L80" s="158"/>
      <c r="M80" s="158"/>
      <c r="N80" s="157"/>
      <c r="O80" s="158"/>
      <c r="P80" s="158"/>
      <c r="Q80" s="158"/>
      <c r="R80" s="158"/>
      <c r="S80" s="157"/>
      <c r="T80" s="158"/>
      <c r="U80" s="158"/>
      <c r="V80" s="158"/>
      <c r="W80" s="158"/>
      <c r="X80" s="157"/>
      <c r="Y80" s="158"/>
      <c r="Z80" s="158"/>
      <c r="AA80" s="158"/>
      <c r="AB80" s="158"/>
      <c r="AC80" s="157"/>
      <c r="AD80" s="158"/>
      <c r="AE80" s="160"/>
      <c r="AF80" s="160"/>
      <c r="AG80" s="160"/>
      <c r="AH80" s="160"/>
      <c r="AI80" s="160"/>
      <c r="AJ80" s="160"/>
    </row>
    <row r="81" spans="1:36" s="11" customFormat="1" x14ac:dyDescent="0.2">
      <c r="B81" s="11" t="s">
        <v>36</v>
      </c>
      <c r="C81" s="104"/>
      <c r="E81" s="106"/>
      <c r="F81" s="106"/>
      <c r="G81" s="106"/>
      <c r="H81" s="106"/>
      <c r="I81" s="171"/>
      <c r="J81" s="158"/>
      <c r="K81" s="158"/>
      <c r="L81" s="158"/>
      <c r="M81" s="158"/>
      <c r="N81" s="171"/>
      <c r="O81" s="158"/>
      <c r="P81" s="158"/>
      <c r="Q81" s="158"/>
      <c r="R81" s="158"/>
      <c r="S81" s="171"/>
      <c r="T81" s="158"/>
      <c r="U81" s="158"/>
      <c r="V81" s="158"/>
      <c r="W81" s="158"/>
      <c r="X81" s="171"/>
      <c r="Y81" s="158"/>
      <c r="Z81" s="158"/>
      <c r="AA81" s="158"/>
      <c r="AB81" s="158"/>
      <c r="AC81" s="171"/>
      <c r="AD81" s="169"/>
      <c r="AE81" s="170"/>
      <c r="AF81" s="170"/>
      <c r="AG81" s="170"/>
      <c r="AH81" s="160"/>
      <c r="AI81" s="160"/>
      <c r="AJ81" s="160"/>
    </row>
    <row r="82" spans="1:36" x14ac:dyDescent="0.2">
      <c r="B82" t="s">
        <v>35</v>
      </c>
      <c r="C82" s="94"/>
      <c r="E82" s="96"/>
      <c r="F82" s="96"/>
      <c r="G82" s="96"/>
      <c r="H82" s="96"/>
      <c r="I82" s="157">
        <f>50*27740</f>
        <v>1387000</v>
      </c>
      <c r="J82" s="158"/>
      <c r="K82" s="158"/>
      <c r="L82" s="158"/>
      <c r="M82" s="158"/>
      <c r="N82" s="157">
        <f>50*27917</f>
        <v>1395850</v>
      </c>
      <c r="O82" s="158"/>
      <c r="P82" s="158"/>
      <c r="Q82" s="158"/>
      <c r="R82" s="158"/>
      <c r="S82" s="157">
        <f>50*28132</f>
        <v>1406600</v>
      </c>
      <c r="T82" s="158">
        <f>28043*50</f>
        <v>1402150</v>
      </c>
      <c r="U82" s="158">
        <f>50*27905</f>
        <v>1395250</v>
      </c>
      <c r="V82" s="158">
        <f>50*27773</f>
        <v>1388650</v>
      </c>
      <c r="W82" s="158">
        <f>$W$67/W77</f>
        <v>1387188.9424158998</v>
      </c>
      <c r="X82" s="157">
        <f>50*27851</f>
        <v>1392550</v>
      </c>
      <c r="Y82" s="158">
        <f>27624*50</f>
        <v>1381200</v>
      </c>
      <c r="Z82" s="158">
        <f>50*27604</f>
        <v>1380200</v>
      </c>
      <c r="AA82" s="158">
        <f>50*27550</f>
        <v>1377500</v>
      </c>
      <c r="AB82" s="158">
        <f>$AB$67/AB77</f>
        <v>1371534.5421220965</v>
      </c>
      <c r="AC82" s="157">
        <f>27555*50</f>
        <v>1377750</v>
      </c>
      <c r="AD82" s="158">
        <f>27444*50</f>
        <v>1372200</v>
      </c>
      <c r="AE82" s="159">
        <v>1372800</v>
      </c>
      <c r="AF82" s="160"/>
      <c r="AG82" s="160"/>
      <c r="AH82" s="160">
        <f>AE82</f>
        <v>1372800</v>
      </c>
      <c r="AI82" s="160">
        <v>1372200</v>
      </c>
      <c r="AJ82" s="160">
        <v>1372200</v>
      </c>
    </row>
    <row r="83" spans="1:36" x14ac:dyDescent="0.2">
      <c r="B83" t="s">
        <v>34</v>
      </c>
      <c r="C83" s="94"/>
      <c r="E83" s="96"/>
      <c r="F83" s="96"/>
      <c r="G83" s="96"/>
      <c r="H83" s="96"/>
      <c r="I83" s="157">
        <f>50*28295</f>
        <v>1414750</v>
      </c>
      <c r="J83" s="158"/>
      <c r="K83" s="158"/>
      <c r="L83" s="158"/>
      <c r="M83" s="158"/>
      <c r="N83" s="157">
        <f>50*28416</f>
        <v>1420800</v>
      </c>
      <c r="O83" s="158"/>
      <c r="P83" s="158"/>
      <c r="Q83" s="158"/>
      <c r="R83" s="158"/>
      <c r="S83" s="157">
        <f>50*28511</f>
        <v>1425550</v>
      </c>
      <c r="T83" s="158">
        <f>28301*50</f>
        <v>1415050</v>
      </c>
      <c r="U83" s="158">
        <f>50*28092</f>
        <v>1404600</v>
      </c>
      <c r="V83" s="158">
        <f>50*27956</f>
        <v>1397800</v>
      </c>
      <c r="W83" s="158">
        <f t="shared" ref="W83" si="311">$W$67/W78</f>
        <v>1399101.4665060013</v>
      </c>
      <c r="X83" s="157">
        <f>50*28062</f>
        <v>1403100</v>
      </c>
      <c r="Y83" s="158">
        <f>27788*50</f>
        <v>1389400</v>
      </c>
      <c r="Z83" s="158">
        <f>50*27747</f>
        <v>1387350</v>
      </c>
      <c r="AA83" s="158">
        <f>50*27681</f>
        <v>1384050</v>
      </c>
      <c r="AB83" s="158">
        <f>$AB$67/AB78</f>
        <v>1380867.8538889512</v>
      </c>
      <c r="AC83" s="157">
        <f>27710*50</f>
        <v>1385500</v>
      </c>
      <c r="AD83" s="158">
        <f>27624*50</f>
        <v>1381200</v>
      </c>
      <c r="AE83" s="159">
        <v>1381518</v>
      </c>
      <c r="AF83" s="160"/>
      <c r="AG83" s="160"/>
      <c r="AH83" s="160">
        <f>AE83</f>
        <v>1381518</v>
      </c>
      <c r="AI83" s="160">
        <v>1381200</v>
      </c>
      <c r="AJ83" s="160">
        <v>1381200</v>
      </c>
    </row>
    <row r="84" spans="1:36" x14ac:dyDescent="0.2">
      <c r="C84" s="94"/>
      <c r="E84" s="96"/>
      <c r="F84" s="96"/>
      <c r="G84" s="96"/>
      <c r="H84" s="96"/>
      <c r="I84" s="157"/>
      <c r="J84" s="158"/>
      <c r="K84" s="158"/>
      <c r="L84" s="158"/>
      <c r="M84" s="158"/>
      <c r="N84" s="157"/>
      <c r="O84" s="158"/>
      <c r="P84" s="158"/>
      <c r="Q84" s="158"/>
      <c r="R84" s="158"/>
      <c r="S84" s="157"/>
      <c r="T84" s="158"/>
      <c r="U84" s="158"/>
      <c r="V84" s="158"/>
      <c r="W84" s="158"/>
      <c r="X84" s="157"/>
      <c r="Y84" s="158"/>
      <c r="Z84" s="158"/>
      <c r="AA84" s="158"/>
      <c r="AB84" s="158"/>
      <c r="AC84" s="157"/>
      <c r="AD84" s="158"/>
      <c r="AE84" s="160"/>
      <c r="AF84" s="160"/>
      <c r="AG84" s="160"/>
      <c r="AH84" s="160"/>
      <c r="AI84" s="160"/>
      <c r="AJ84" s="160"/>
    </row>
    <row r="85" spans="1:36" x14ac:dyDescent="0.2">
      <c r="B85" t="s">
        <v>33</v>
      </c>
      <c r="C85" s="94"/>
      <c r="E85" s="96"/>
      <c r="F85" s="96"/>
      <c r="G85" s="96"/>
      <c r="H85" s="96"/>
      <c r="I85" s="157"/>
      <c r="J85" s="158"/>
      <c r="K85" s="158"/>
      <c r="L85" s="158"/>
      <c r="M85" s="158"/>
      <c r="N85" s="157"/>
      <c r="O85" s="158"/>
      <c r="P85" s="158"/>
      <c r="Q85" s="158"/>
      <c r="R85" s="158"/>
      <c r="S85" s="157"/>
      <c r="T85" s="158"/>
      <c r="U85" s="158"/>
      <c r="V85" s="158"/>
      <c r="W85" s="158"/>
      <c r="X85" s="157"/>
      <c r="Y85" s="158"/>
      <c r="Z85" s="158"/>
      <c r="AA85" s="158"/>
      <c r="AB85" s="158"/>
      <c r="AC85" s="157"/>
      <c r="AD85" s="158"/>
      <c r="AE85" s="160"/>
      <c r="AF85" s="160"/>
      <c r="AG85" s="160"/>
      <c r="AH85" s="160"/>
      <c r="AI85" s="160"/>
      <c r="AJ85" s="160"/>
    </row>
    <row r="86" spans="1:36" x14ac:dyDescent="0.2">
      <c r="B86" t="s">
        <v>32</v>
      </c>
      <c r="C86" s="94"/>
      <c r="E86" s="96"/>
      <c r="F86" s="96"/>
      <c r="G86" s="96"/>
      <c r="H86" s="96"/>
      <c r="I86" s="157">
        <v>873</v>
      </c>
      <c r="J86" s="158"/>
      <c r="K86" s="158"/>
      <c r="L86" s="158"/>
      <c r="M86" s="158"/>
      <c r="N86" s="157">
        <v>1134</v>
      </c>
      <c r="O86" s="158"/>
      <c r="P86" s="158"/>
      <c r="Q86" s="158"/>
      <c r="R86" s="158"/>
      <c r="S86" s="157">
        <v>-1125</v>
      </c>
      <c r="T86" s="158"/>
      <c r="U86" s="158"/>
      <c r="V86" s="158"/>
      <c r="W86" s="158"/>
      <c r="X86" s="157">
        <v>-2534</v>
      </c>
      <c r="Y86" s="158"/>
      <c r="Z86" s="158"/>
      <c r="AA86" s="158"/>
      <c r="AB86" s="158"/>
      <c r="AC86" s="157">
        <v>1231</v>
      </c>
      <c r="AD86" s="158"/>
      <c r="AE86" s="160"/>
      <c r="AF86" s="160"/>
      <c r="AG86" s="160"/>
      <c r="AH86" s="160"/>
      <c r="AI86" s="160"/>
      <c r="AJ86" s="160"/>
    </row>
    <row r="87" spans="1:36" x14ac:dyDescent="0.2">
      <c r="B87" t="s">
        <v>31</v>
      </c>
      <c r="C87" s="94"/>
      <c r="E87" s="96"/>
      <c r="F87" s="96"/>
      <c r="G87" s="96"/>
      <c r="H87" s="96"/>
      <c r="I87" s="157">
        <v>351031</v>
      </c>
      <c r="J87" s="158"/>
      <c r="K87" s="158"/>
      <c r="L87" s="158"/>
      <c r="M87" s="158"/>
      <c r="N87" s="157">
        <v>356900</v>
      </c>
      <c r="O87" s="158"/>
      <c r="P87" s="158"/>
      <c r="Q87" s="158"/>
      <c r="R87" s="158"/>
      <c r="S87" s="157">
        <v>651859</v>
      </c>
      <c r="T87" s="158"/>
      <c r="U87" s="158"/>
      <c r="V87" s="158"/>
      <c r="W87" s="158"/>
      <c r="X87" s="157">
        <v>896567</v>
      </c>
      <c r="Y87" s="158"/>
      <c r="Z87" s="158"/>
      <c r="AA87" s="158"/>
      <c r="AB87" s="158"/>
      <c r="AC87" s="157">
        <v>1229968</v>
      </c>
      <c r="AD87" s="158"/>
      <c r="AE87" s="160"/>
      <c r="AF87" s="160"/>
      <c r="AG87" s="160"/>
      <c r="AH87" s="160"/>
      <c r="AI87" s="160"/>
      <c r="AJ87" s="160"/>
    </row>
    <row r="88" spans="1:36" x14ac:dyDescent="0.2">
      <c r="B88" s="94"/>
      <c r="C88" s="94"/>
      <c r="E88" s="96"/>
      <c r="F88" s="96"/>
      <c r="G88" s="96"/>
      <c r="H88" s="96"/>
      <c r="I88" s="157"/>
      <c r="J88" s="158"/>
      <c r="K88" s="158"/>
      <c r="L88" s="158"/>
      <c r="M88" s="158"/>
      <c r="N88" s="158"/>
      <c r="O88" s="158"/>
      <c r="P88" s="158"/>
      <c r="Q88" s="158"/>
      <c r="R88" s="158"/>
      <c r="S88" s="158"/>
      <c r="T88" s="158"/>
      <c r="U88" s="158"/>
      <c r="V88" s="158"/>
      <c r="W88" s="158"/>
      <c r="X88" s="160"/>
      <c r="Y88" s="158"/>
      <c r="Z88" s="158"/>
      <c r="AA88" s="158"/>
      <c r="AB88" s="158"/>
      <c r="AC88" s="160"/>
      <c r="AD88" s="158"/>
      <c r="AE88" s="160"/>
      <c r="AF88" s="160"/>
      <c r="AG88" s="160"/>
      <c r="AH88" s="160"/>
      <c r="AI88" s="160"/>
      <c r="AJ88" s="160"/>
    </row>
    <row r="89" spans="1:36" x14ac:dyDescent="0.2">
      <c r="B89" s="94"/>
      <c r="C89" s="94"/>
      <c r="E89" s="96"/>
      <c r="F89" s="96"/>
      <c r="G89" s="96"/>
      <c r="H89" s="96"/>
      <c r="I89" s="157"/>
      <c r="J89" s="158"/>
      <c r="K89" s="158"/>
      <c r="L89" s="158"/>
      <c r="M89" s="158"/>
      <c r="N89" s="158"/>
      <c r="O89" s="158"/>
      <c r="P89" s="158"/>
      <c r="Q89" s="158"/>
      <c r="R89" s="158"/>
      <c r="S89" s="158"/>
      <c r="T89" s="158"/>
      <c r="U89" s="158"/>
      <c r="V89" s="158"/>
      <c r="W89" s="158"/>
      <c r="X89" s="160"/>
      <c r="Y89" s="158"/>
      <c r="Z89" s="160"/>
      <c r="AA89" s="160"/>
      <c r="AB89" s="160"/>
      <c r="AC89" s="160"/>
      <c r="AD89" s="158"/>
      <c r="AE89" s="160"/>
      <c r="AF89" s="160"/>
      <c r="AG89" s="160"/>
      <c r="AH89" s="160"/>
      <c r="AI89" s="160"/>
      <c r="AJ89" s="160"/>
    </row>
    <row r="90" spans="1:36" x14ac:dyDescent="0.2">
      <c r="B90" s="94"/>
      <c r="C90" s="94"/>
      <c r="E90" s="96"/>
      <c r="F90" s="96"/>
      <c r="G90" s="96"/>
      <c r="H90" s="96"/>
      <c r="I90" s="157"/>
      <c r="J90" s="158"/>
      <c r="K90" s="158"/>
      <c r="L90" s="158"/>
      <c r="M90" s="158"/>
      <c r="N90" s="158"/>
      <c r="O90" s="158"/>
      <c r="P90" s="158"/>
      <c r="Q90" s="158"/>
      <c r="R90" s="158"/>
      <c r="S90" s="158"/>
      <c r="T90" s="158"/>
      <c r="U90" s="160"/>
      <c r="V90" s="160"/>
      <c r="W90" s="160"/>
      <c r="X90" s="160"/>
      <c r="Y90" s="158"/>
      <c r="Z90" s="160"/>
      <c r="AA90" s="160"/>
      <c r="AB90" s="160"/>
      <c r="AC90" s="160"/>
      <c r="AD90" s="158"/>
      <c r="AE90" s="160"/>
      <c r="AF90" s="160"/>
      <c r="AG90" s="160"/>
      <c r="AH90" s="160"/>
      <c r="AI90" s="160"/>
      <c r="AJ90" s="160"/>
    </row>
    <row r="91" spans="1:36" x14ac:dyDescent="0.2">
      <c r="A91" s="112"/>
      <c r="B91" s="112" t="s">
        <v>203</v>
      </c>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c r="AG91" s="112"/>
      <c r="AH91" s="160"/>
      <c r="AI91" s="160"/>
      <c r="AJ91" s="160"/>
    </row>
    <row r="92" spans="1:36" x14ac:dyDescent="0.2">
      <c r="B92" s="11" t="s">
        <v>96</v>
      </c>
      <c r="C92" s="94"/>
      <c r="E92" s="96"/>
      <c r="F92" s="96"/>
      <c r="G92" s="96"/>
      <c r="H92" s="96"/>
      <c r="I92" s="157"/>
      <c r="J92" s="158"/>
      <c r="K92" s="158"/>
      <c r="L92" s="158"/>
      <c r="M92" s="158"/>
      <c r="N92" s="158"/>
      <c r="O92" s="158"/>
      <c r="P92" s="158"/>
      <c r="Q92" s="158"/>
      <c r="R92" s="158"/>
      <c r="S92" s="158"/>
      <c r="T92" s="158"/>
      <c r="U92" s="160"/>
      <c r="V92" s="160"/>
      <c r="W92" s="160"/>
      <c r="X92" s="160"/>
      <c r="Y92" s="158"/>
      <c r="Z92" s="160"/>
      <c r="AA92" s="160"/>
      <c r="AB92" s="160"/>
      <c r="AC92" s="160"/>
      <c r="AD92" s="158"/>
      <c r="AE92" s="160"/>
      <c r="AF92" s="160"/>
      <c r="AG92" s="160"/>
      <c r="AH92" s="160"/>
      <c r="AI92" s="160"/>
      <c r="AJ92" s="160"/>
    </row>
    <row r="93" spans="1:36" x14ac:dyDescent="0.2">
      <c r="B93" s="11" t="s">
        <v>38</v>
      </c>
      <c r="C93" s="94"/>
      <c r="E93" s="96"/>
      <c r="F93" s="96"/>
      <c r="G93" s="96"/>
      <c r="H93" s="96"/>
      <c r="I93" s="157">
        <v>350158</v>
      </c>
      <c r="J93" s="157"/>
      <c r="K93" s="157"/>
      <c r="L93" s="157"/>
      <c r="M93" s="157"/>
      <c r="N93" s="157">
        <v>355766</v>
      </c>
      <c r="O93" s="157"/>
      <c r="P93" s="157"/>
      <c r="Q93" s="157"/>
      <c r="R93" s="157"/>
      <c r="S93" s="157">
        <v>652984</v>
      </c>
      <c r="T93" s="157"/>
      <c r="U93" s="157"/>
      <c r="V93" s="157"/>
      <c r="W93" s="157"/>
      <c r="X93" s="157">
        <v>899101</v>
      </c>
      <c r="Y93" s="157"/>
      <c r="Z93" s="157"/>
      <c r="AA93" s="157"/>
      <c r="AB93" s="157"/>
      <c r="AC93" s="157">
        <v>1228737</v>
      </c>
      <c r="AD93" s="157"/>
      <c r="AE93" s="157"/>
      <c r="AF93" s="157"/>
      <c r="AG93" s="157"/>
      <c r="AH93" s="160"/>
      <c r="AI93" s="160"/>
      <c r="AJ93" s="160"/>
    </row>
    <row r="94" spans="1:36" x14ac:dyDescent="0.2">
      <c r="B94" s="11" t="s">
        <v>95</v>
      </c>
      <c r="C94" s="94"/>
      <c r="E94" s="96"/>
      <c r="F94" s="96"/>
      <c r="G94" s="96"/>
      <c r="H94" s="96"/>
      <c r="I94" s="157"/>
      <c r="J94" s="157"/>
      <c r="K94" s="157"/>
      <c r="L94" s="157"/>
      <c r="M94" s="157"/>
      <c r="N94" s="157"/>
      <c r="O94" s="157"/>
      <c r="P94" s="157"/>
      <c r="Q94" s="157"/>
      <c r="R94" s="157"/>
      <c r="S94" s="157"/>
      <c r="T94" s="157"/>
      <c r="U94" s="157"/>
      <c r="V94" s="157"/>
      <c r="W94" s="157"/>
      <c r="X94" s="157"/>
      <c r="Y94" s="157"/>
      <c r="Z94" s="157"/>
      <c r="AA94" s="157"/>
      <c r="AB94" s="157"/>
      <c r="AC94" s="157"/>
      <c r="AD94" s="157"/>
      <c r="AE94" s="157"/>
      <c r="AF94" s="157"/>
      <c r="AG94" s="157"/>
      <c r="AH94" s="160"/>
      <c r="AI94" s="160"/>
      <c r="AJ94" s="160"/>
    </row>
    <row r="95" spans="1:36" x14ac:dyDescent="0.2">
      <c r="B95" t="s">
        <v>46</v>
      </c>
      <c r="C95" s="94"/>
      <c r="E95" s="96"/>
      <c r="F95" s="96"/>
      <c r="G95" s="96"/>
      <c r="H95" s="96"/>
      <c r="I95" s="157">
        <v>212778</v>
      </c>
      <c r="J95" s="157"/>
      <c r="K95" s="157"/>
      <c r="L95" s="157"/>
      <c r="M95" s="157"/>
      <c r="N95" s="157">
        <v>238534</v>
      </c>
      <c r="O95" s="157"/>
      <c r="P95" s="157"/>
      <c r="Q95" s="157"/>
      <c r="R95" s="157"/>
      <c r="S95" s="157">
        <v>254657</v>
      </c>
      <c r="T95" s="157"/>
      <c r="U95" s="157"/>
      <c r="V95" s="157"/>
      <c r="W95" s="157"/>
      <c r="X95" s="157">
        <v>286826</v>
      </c>
      <c r="Y95" s="157"/>
      <c r="Z95" s="157"/>
      <c r="AA95" s="157"/>
      <c r="AB95" s="157"/>
      <c r="AC95" s="157">
        <v>319394</v>
      </c>
      <c r="AD95" s="157"/>
      <c r="AE95" s="157"/>
      <c r="AF95" s="157"/>
      <c r="AG95" s="157"/>
      <c r="AH95" s="160"/>
      <c r="AI95" s="160"/>
      <c r="AJ95" s="160"/>
    </row>
    <row r="96" spans="1:36" x14ac:dyDescent="0.2">
      <c r="B96" t="s">
        <v>94</v>
      </c>
      <c r="C96" s="94"/>
      <c r="E96" s="96"/>
      <c r="F96" s="96"/>
      <c r="G96" s="96"/>
      <c r="H96" s="96"/>
      <c r="I96" s="157">
        <v>29962</v>
      </c>
      <c r="J96" s="157"/>
      <c r="K96" s="157"/>
      <c r="L96" s="157"/>
      <c r="M96" s="157"/>
      <c r="N96" s="157">
        <v>108350</v>
      </c>
      <c r="O96" s="157"/>
      <c r="P96" s="157"/>
      <c r="Q96" s="157"/>
      <c r="R96" s="157"/>
      <c r="S96" s="157">
        <v>-12357</v>
      </c>
      <c r="T96" s="157"/>
      <c r="U96" s="157"/>
      <c r="V96" s="157"/>
      <c r="W96" s="157"/>
      <c r="X96" s="157">
        <v>-43195</v>
      </c>
      <c r="Y96" s="157"/>
      <c r="Z96" s="157"/>
      <c r="AA96" s="157"/>
      <c r="AB96" s="157"/>
      <c r="AC96" s="157">
        <v>-9505</v>
      </c>
      <c r="AD96" s="157"/>
      <c r="AE96" s="157"/>
      <c r="AF96" s="157"/>
      <c r="AG96" s="157"/>
      <c r="AH96" s="160"/>
      <c r="AI96" s="160"/>
      <c r="AJ96" s="160"/>
    </row>
    <row r="97" spans="2:36" x14ac:dyDescent="0.2">
      <c r="B97" t="s">
        <v>44</v>
      </c>
      <c r="C97" s="94"/>
      <c r="E97" s="96"/>
      <c r="F97" s="96"/>
      <c r="G97" s="96"/>
      <c r="H97" s="96"/>
      <c r="I97" s="157">
        <v>15402</v>
      </c>
      <c r="J97" s="157"/>
      <c r="K97" s="157"/>
      <c r="L97" s="157"/>
      <c r="M97" s="157"/>
      <c r="N97" s="157">
        <v>28874</v>
      </c>
      <c r="O97" s="157"/>
      <c r="P97" s="157"/>
      <c r="Q97" s="157"/>
      <c r="R97" s="157"/>
      <c r="S97" s="157">
        <v>17086</v>
      </c>
      <c r="T97" s="157"/>
      <c r="U97" s="157"/>
      <c r="V97" s="157"/>
      <c r="W97" s="157"/>
      <c r="X97" s="157">
        <v>20738</v>
      </c>
      <c r="Y97" s="157"/>
      <c r="Z97" s="157"/>
      <c r="AA97" s="157"/>
      <c r="AB97" s="157"/>
      <c r="AC97" s="157">
        <v>37025</v>
      </c>
      <c r="AD97" s="157"/>
      <c r="AE97" s="157"/>
      <c r="AF97" s="157"/>
      <c r="AG97" s="157"/>
      <c r="AH97" s="160"/>
      <c r="AI97" s="160"/>
      <c r="AJ97" s="160"/>
    </row>
    <row r="98" spans="2:36" x14ac:dyDescent="0.2">
      <c r="B98" t="s">
        <v>93</v>
      </c>
      <c r="C98" s="94"/>
      <c r="E98" s="96"/>
      <c r="F98" s="96"/>
      <c r="G98" s="96"/>
      <c r="H98" s="96"/>
      <c r="I98" s="157">
        <v>33</v>
      </c>
      <c r="J98" s="157"/>
      <c r="K98" s="157"/>
      <c r="L98" s="157"/>
      <c r="M98" s="157"/>
      <c r="N98" s="157">
        <v>164</v>
      </c>
      <c r="O98" s="157"/>
      <c r="P98" s="157"/>
      <c r="Q98" s="157"/>
      <c r="R98" s="157"/>
      <c r="S98" s="157">
        <v>493</v>
      </c>
      <c r="T98" s="157"/>
      <c r="U98" s="157"/>
      <c r="V98" s="157"/>
      <c r="W98" s="157"/>
      <c r="X98" s="157">
        <v>-760</v>
      </c>
      <c r="Y98" s="157"/>
      <c r="Z98" s="157"/>
      <c r="AA98" s="157"/>
      <c r="AB98" s="157"/>
      <c r="AC98" s="157">
        <v>1570</v>
      </c>
      <c r="AD98" s="157"/>
      <c r="AE98" s="157"/>
      <c r="AF98" s="157"/>
      <c r="AG98" s="157"/>
      <c r="AH98" s="160"/>
      <c r="AI98" s="160"/>
      <c r="AJ98" s="160"/>
    </row>
    <row r="99" spans="2:36" x14ac:dyDescent="0.2">
      <c r="B99" t="s">
        <v>92</v>
      </c>
      <c r="C99" s="94"/>
      <c r="E99" s="96"/>
      <c r="F99" s="96"/>
      <c r="G99" s="96"/>
      <c r="H99" s="96"/>
      <c r="I99" s="157">
        <v>91396</v>
      </c>
      <c r="J99" s="157"/>
      <c r="K99" s="157"/>
      <c r="L99" s="157"/>
      <c r="M99" s="157"/>
      <c r="N99" s="157">
        <v>82626</v>
      </c>
      <c r="O99" s="157"/>
      <c r="P99" s="157"/>
      <c r="Q99" s="157"/>
      <c r="R99" s="157"/>
      <c r="S99" s="157">
        <v>176392</v>
      </c>
      <c r="T99" s="157"/>
      <c r="U99" s="157"/>
      <c r="V99" s="157"/>
      <c r="W99" s="157"/>
      <c r="X99" s="157">
        <v>98030</v>
      </c>
      <c r="Y99" s="157"/>
      <c r="Z99" s="157"/>
      <c r="AA99" s="157"/>
      <c r="AB99" s="157"/>
      <c r="AC99" s="157">
        <v>124016</v>
      </c>
      <c r="AD99" s="157"/>
      <c r="AE99" s="157"/>
      <c r="AF99" s="157"/>
      <c r="AG99" s="157"/>
      <c r="AH99" s="160"/>
      <c r="AI99" s="160"/>
      <c r="AJ99" s="160"/>
    </row>
    <row r="100" spans="2:36" x14ac:dyDescent="0.2">
      <c r="B100" t="s">
        <v>91</v>
      </c>
      <c r="C100" s="94"/>
      <c r="E100" s="96"/>
      <c r="F100" s="96"/>
      <c r="G100" s="96"/>
      <c r="H100" s="96"/>
      <c r="I100" s="157">
        <v>-10592</v>
      </c>
      <c r="J100" s="157"/>
      <c r="K100" s="157"/>
      <c r="L100" s="157"/>
      <c r="M100" s="157"/>
      <c r="N100" s="157">
        <v>3643</v>
      </c>
      <c r="O100" s="157"/>
      <c r="P100" s="157"/>
      <c r="Q100" s="157"/>
      <c r="R100" s="157"/>
      <c r="S100" s="157">
        <v>-4599</v>
      </c>
      <c r="T100" s="157"/>
      <c r="U100" s="157"/>
      <c r="V100" s="157"/>
      <c r="W100" s="157"/>
      <c r="X100" s="157">
        <v>-16202</v>
      </c>
      <c r="Y100" s="157"/>
      <c r="Z100" s="157"/>
      <c r="AA100" s="157"/>
      <c r="AB100" s="157"/>
      <c r="AC100" s="157">
        <v>-13080</v>
      </c>
      <c r="AD100" s="157"/>
      <c r="AE100" s="157"/>
      <c r="AF100" s="157"/>
      <c r="AG100" s="157"/>
      <c r="AH100" s="160"/>
      <c r="AI100" s="160"/>
      <c r="AJ100" s="160"/>
    </row>
    <row r="101" spans="2:36" x14ac:dyDescent="0.2">
      <c r="B101" s="11" t="s">
        <v>90</v>
      </c>
      <c r="I101" s="157"/>
      <c r="J101" s="157"/>
      <c r="K101" s="157"/>
      <c r="L101" s="157"/>
      <c r="M101" s="157"/>
      <c r="N101" s="157"/>
      <c r="O101" s="157"/>
      <c r="P101" s="157"/>
      <c r="Q101" s="157"/>
      <c r="R101" s="157"/>
      <c r="S101" s="157"/>
      <c r="T101" s="157"/>
      <c r="U101" s="157"/>
      <c r="V101" s="157"/>
      <c r="W101" s="157"/>
      <c r="X101" s="157"/>
      <c r="Y101" s="157"/>
      <c r="Z101" s="157"/>
      <c r="AA101" s="157"/>
      <c r="AB101" s="157"/>
      <c r="AC101" s="157"/>
      <c r="AD101" s="157"/>
      <c r="AE101" s="157"/>
      <c r="AF101" s="157"/>
      <c r="AG101" s="157"/>
      <c r="AH101" s="160"/>
      <c r="AI101" s="160"/>
      <c r="AJ101" s="160"/>
    </row>
    <row r="102" spans="2:36" x14ac:dyDescent="0.2">
      <c r="B102" t="s">
        <v>89</v>
      </c>
      <c r="I102" s="157">
        <v>-2630</v>
      </c>
      <c r="J102" s="157"/>
      <c r="K102" s="157"/>
      <c r="L102" s="157"/>
      <c r="M102" s="157"/>
      <c r="N102" s="157">
        <v>3010</v>
      </c>
      <c r="O102" s="157"/>
      <c r="P102" s="157"/>
      <c r="Q102" s="157"/>
      <c r="R102" s="157"/>
      <c r="S102" s="157">
        <v>-1687</v>
      </c>
      <c r="T102" s="157"/>
      <c r="U102" s="157"/>
      <c r="V102" s="157"/>
      <c r="W102" s="157"/>
      <c r="X102" s="157">
        <v>-14026</v>
      </c>
      <c r="Y102" s="157"/>
      <c r="Z102" s="157"/>
      <c r="AA102" s="157"/>
      <c r="AB102" s="157"/>
      <c r="AC102" s="157">
        <v>-11216</v>
      </c>
      <c r="AD102" s="157"/>
      <c r="AE102" s="157"/>
      <c r="AF102" s="157"/>
      <c r="AG102" s="157"/>
      <c r="AH102" s="160"/>
      <c r="AI102" s="160"/>
      <c r="AJ102" s="160"/>
    </row>
    <row r="103" spans="2:36" x14ac:dyDescent="0.2">
      <c r="B103" t="s">
        <v>88</v>
      </c>
      <c r="I103" s="157">
        <v>-4530</v>
      </c>
      <c r="J103" s="157"/>
      <c r="K103" s="157"/>
      <c r="L103" s="157"/>
      <c r="M103" s="157"/>
      <c r="N103" s="157">
        <v>-394</v>
      </c>
      <c r="O103" s="157"/>
      <c r="P103" s="157"/>
      <c r="Q103" s="157"/>
      <c r="R103" s="157"/>
      <c r="S103" s="157">
        <v>-6392</v>
      </c>
      <c r="T103" s="157"/>
      <c r="U103" s="157"/>
      <c r="V103" s="157"/>
      <c r="W103" s="157"/>
      <c r="X103" s="157">
        <v>-3011</v>
      </c>
      <c r="Y103" s="157"/>
      <c r="Z103" s="157"/>
      <c r="AA103" s="157"/>
      <c r="AB103" s="157"/>
      <c r="AC103" s="157">
        <v>-3649</v>
      </c>
      <c r="AD103" s="157"/>
      <c r="AE103" s="157"/>
      <c r="AF103" s="157"/>
      <c r="AG103" s="157"/>
      <c r="AH103" s="160"/>
      <c r="AI103" s="160"/>
      <c r="AJ103" s="160"/>
    </row>
    <row r="104" spans="2:36" x14ac:dyDescent="0.2">
      <c r="B104" t="s">
        <v>87</v>
      </c>
      <c r="I104" s="157">
        <v>-23066</v>
      </c>
      <c r="J104" s="157"/>
      <c r="K104" s="157"/>
      <c r="L104" s="157"/>
      <c r="M104" s="157"/>
      <c r="N104" s="157">
        <v>-11442</v>
      </c>
      <c r="O104" s="157"/>
      <c r="P104" s="157"/>
      <c r="Q104" s="157"/>
      <c r="R104" s="157"/>
      <c r="S104" s="157">
        <v>-26826</v>
      </c>
      <c r="T104" s="157"/>
      <c r="U104" s="157"/>
      <c r="V104" s="157"/>
      <c r="W104" s="157"/>
      <c r="X104" s="157">
        <v>-14660</v>
      </c>
      <c r="Y104" s="157"/>
      <c r="Z104" s="157"/>
      <c r="AA104" s="157"/>
      <c r="AB104" s="157"/>
      <c r="AC104" s="157">
        <v>-39211</v>
      </c>
      <c r="AD104" s="157"/>
      <c r="AE104" s="157"/>
      <c r="AF104" s="157"/>
      <c r="AG104" s="157"/>
      <c r="AH104" s="160"/>
      <c r="AI104" s="160"/>
      <c r="AJ104" s="160"/>
    </row>
    <row r="105" spans="2:36" x14ac:dyDescent="0.2">
      <c r="B105" t="s">
        <v>86</v>
      </c>
      <c r="I105" s="157">
        <v>163952</v>
      </c>
      <c r="J105" s="157"/>
      <c r="K105" s="157"/>
      <c r="L105" s="157"/>
      <c r="M105" s="157"/>
      <c r="N105" s="157">
        <v>184538</v>
      </c>
      <c r="O105" s="157"/>
      <c r="P105" s="157"/>
      <c r="Q105" s="157"/>
      <c r="R105" s="157"/>
      <c r="S105" s="157">
        <v>223837</v>
      </c>
      <c r="T105" s="157"/>
      <c r="U105" s="157"/>
      <c r="V105" s="157"/>
      <c r="W105" s="157"/>
      <c r="X105" s="157">
        <v>234273</v>
      </c>
      <c r="Y105" s="157"/>
      <c r="Z105" s="157"/>
      <c r="AA105" s="157"/>
      <c r="AB105" s="157"/>
      <c r="AC105" s="157">
        <v>254241</v>
      </c>
      <c r="AD105" s="157"/>
      <c r="AE105" s="157"/>
      <c r="AF105" s="157"/>
      <c r="AG105" s="157"/>
      <c r="AH105" s="160"/>
      <c r="AI105" s="160"/>
      <c r="AJ105" s="160"/>
    </row>
    <row r="106" spans="2:36" x14ac:dyDescent="0.2">
      <c r="B106" t="s">
        <v>85</v>
      </c>
      <c r="I106" s="157">
        <v>2818</v>
      </c>
      <c r="J106" s="157"/>
      <c r="K106" s="157"/>
      <c r="L106" s="157"/>
      <c r="M106" s="157"/>
      <c r="N106" s="157">
        <v>-26577</v>
      </c>
      <c r="O106" s="157"/>
      <c r="P106" s="157"/>
      <c r="Q106" s="157"/>
      <c r="R106" s="157"/>
      <c r="S106" s="157">
        <v>3993</v>
      </c>
      <c r="T106" s="157"/>
      <c r="U106" s="157"/>
      <c r="V106" s="157"/>
      <c r="W106" s="157"/>
      <c r="X106" s="157">
        <v>-346</v>
      </c>
      <c r="Y106" s="157"/>
      <c r="Z106" s="157"/>
      <c r="AA106" s="157"/>
      <c r="AB106" s="157"/>
      <c r="AC106" s="157">
        <v>4204</v>
      </c>
      <c r="AD106" s="157"/>
      <c r="AE106" s="157"/>
      <c r="AF106" s="157"/>
      <c r="AG106" s="157"/>
      <c r="AH106" s="160"/>
      <c r="AI106" s="160"/>
      <c r="AJ106" s="160"/>
    </row>
    <row r="107" spans="2:36" x14ac:dyDescent="0.2">
      <c r="B107" t="s">
        <v>84</v>
      </c>
      <c r="I107" s="157">
        <v>-973</v>
      </c>
      <c r="J107" s="157"/>
      <c r="K107" s="157"/>
      <c r="L107" s="157"/>
      <c r="M107" s="157"/>
      <c r="N107" s="157">
        <v>-3859</v>
      </c>
      <c r="O107" s="157"/>
      <c r="P107" s="157"/>
      <c r="Q107" s="157"/>
      <c r="R107" s="157"/>
      <c r="S107" s="157">
        <v>21440</v>
      </c>
      <c r="T107" s="157"/>
      <c r="U107" s="157"/>
      <c r="V107" s="157"/>
      <c r="W107" s="157"/>
      <c r="X107" s="157">
        <v>18208</v>
      </c>
      <c r="Y107" s="157"/>
      <c r="Z107" s="157"/>
      <c r="AA107" s="157"/>
      <c r="AB107" s="157"/>
      <c r="AC107" s="157">
        <v>5313</v>
      </c>
      <c r="AD107" s="157"/>
      <c r="AE107" s="157"/>
      <c r="AF107" s="157"/>
      <c r="AG107" s="157"/>
      <c r="AH107" s="160"/>
      <c r="AI107" s="160"/>
      <c r="AJ107" s="160"/>
    </row>
    <row r="108" spans="2:36" x14ac:dyDescent="0.2">
      <c r="B108" t="s">
        <v>83</v>
      </c>
      <c r="I108" s="157">
        <v>11759</v>
      </c>
      <c r="J108" s="157"/>
      <c r="K108" s="157"/>
      <c r="L108" s="157"/>
      <c r="M108" s="157"/>
      <c r="N108" s="157">
        <v>76683</v>
      </c>
      <c r="O108" s="157"/>
      <c r="P108" s="157"/>
      <c r="Q108" s="157"/>
      <c r="R108" s="157"/>
      <c r="S108" s="157">
        <v>-44555</v>
      </c>
      <c r="T108" s="157"/>
      <c r="U108" s="157"/>
      <c r="V108" s="157"/>
      <c r="W108" s="157"/>
      <c r="X108" s="157">
        <v>9864</v>
      </c>
      <c r="Y108" s="157"/>
      <c r="Z108" s="157"/>
      <c r="AA108" s="157"/>
      <c r="AB108" s="157"/>
      <c r="AC108" s="157">
        <v>57048</v>
      </c>
      <c r="AD108" s="157"/>
      <c r="AE108" s="157"/>
      <c r="AF108" s="157"/>
      <c r="AG108" s="157"/>
      <c r="AH108" s="160"/>
      <c r="AI108" s="160"/>
      <c r="AJ108" s="160"/>
    </row>
    <row r="109" spans="2:36" x14ac:dyDescent="0.2">
      <c r="B109" t="s">
        <v>82</v>
      </c>
      <c r="I109" s="157">
        <v>36543</v>
      </c>
      <c r="J109" s="157"/>
      <c r="K109" s="157"/>
      <c r="L109" s="157"/>
      <c r="M109" s="157"/>
      <c r="N109" s="157">
        <v>5596</v>
      </c>
      <c r="O109" s="157"/>
      <c r="P109" s="157"/>
      <c r="Q109" s="157"/>
      <c r="R109" s="157"/>
      <c r="S109" s="157">
        <v>10997</v>
      </c>
      <c r="T109" s="157"/>
      <c r="U109" s="157"/>
      <c r="V109" s="157"/>
      <c r="W109" s="157"/>
      <c r="X109" s="157">
        <v>-27964</v>
      </c>
      <c r="Y109" s="157"/>
      <c r="Z109" s="157"/>
      <c r="AA109" s="157"/>
      <c r="AB109" s="157"/>
      <c r="AC109" s="157">
        <v>3188</v>
      </c>
      <c r="AD109" s="157"/>
      <c r="AE109" s="157"/>
      <c r="AF109" s="157"/>
      <c r="AG109" s="157"/>
      <c r="AH109" s="160"/>
      <c r="AI109" s="160"/>
      <c r="AJ109" s="160"/>
    </row>
    <row r="110" spans="2:36" x14ac:dyDescent="0.2">
      <c r="B110" t="s">
        <v>81</v>
      </c>
      <c r="I110" s="157">
        <v>30400</v>
      </c>
      <c r="J110" s="157"/>
      <c r="K110" s="157"/>
      <c r="L110" s="157"/>
      <c r="M110" s="157"/>
      <c r="N110" s="157">
        <v>36958</v>
      </c>
      <c r="O110" s="157"/>
      <c r="P110" s="157"/>
      <c r="Q110" s="157"/>
      <c r="R110" s="157"/>
      <c r="S110" s="157">
        <v>34387</v>
      </c>
      <c r="T110" s="157"/>
      <c r="U110" s="157"/>
      <c r="V110" s="157"/>
      <c r="W110" s="157"/>
      <c r="X110" s="157">
        <v>33374</v>
      </c>
      <c r="Y110" s="157"/>
      <c r="Z110" s="157"/>
      <c r="AA110" s="157"/>
      <c r="AB110" s="157"/>
      <c r="AC110" s="157">
        <v>35685</v>
      </c>
      <c r="AD110" s="157"/>
      <c r="AE110" s="157"/>
      <c r="AF110" s="157"/>
      <c r="AG110" s="157"/>
      <c r="AH110" s="160"/>
      <c r="AI110" s="160"/>
      <c r="AJ110" s="160"/>
    </row>
    <row r="111" spans="2:36" x14ac:dyDescent="0.2">
      <c r="B111" t="s">
        <v>80</v>
      </c>
      <c r="I111" s="157">
        <v>-32083</v>
      </c>
      <c r="J111" s="157"/>
      <c r="K111" s="157"/>
      <c r="L111" s="157"/>
      <c r="M111" s="157"/>
      <c r="N111" s="157">
        <v>-255251</v>
      </c>
      <c r="O111" s="157"/>
      <c r="P111" s="157"/>
      <c r="Q111" s="157"/>
      <c r="R111" s="157"/>
      <c r="S111" s="157">
        <v>193379</v>
      </c>
      <c r="T111" s="157"/>
      <c r="U111" s="157"/>
      <c r="V111" s="157"/>
      <c r="W111" s="157"/>
      <c r="X111" s="157">
        <v>46262</v>
      </c>
      <c r="Y111" s="157"/>
      <c r="Z111" s="157"/>
      <c r="AA111" s="157"/>
      <c r="AB111" s="157"/>
      <c r="AC111" s="157">
        <v>-5237</v>
      </c>
      <c r="AD111" s="157"/>
      <c r="AE111" s="157"/>
      <c r="AF111" s="157"/>
      <c r="AG111" s="157"/>
      <c r="AH111" s="160"/>
      <c r="AI111" s="160"/>
      <c r="AJ111" s="160"/>
    </row>
    <row r="112" spans="2:36" x14ac:dyDescent="0.2">
      <c r="B112" t="s">
        <v>79</v>
      </c>
      <c r="I112" s="157">
        <v>-151557</v>
      </c>
      <c r="J112" s="157"/>
      <c r="K112" s="157"/>
      <c r="L112" s="157"/>
      <c r="M112" s="157"/>
      <c r="N112" s="157">
        <v>-165154</v>
      </c>
      <c r="O112" s="157"/>
      <c r="P112" s="157"/>
      <c r="Q112" s="157"/>
      <c r="R112" s="157"/>
      <c r="S112" s="157">
        <v>-207164</v>
      </c>
      <c r="T112" s="157"/>
      <c r="U112" s="157"/>
      <c r="V112" s="157"/>
      <c r="W112" s="157"/>
      <c r="X112" s="157">
        <v>-207186</v>
      </c>
      <c r="Y112" s="157"/>
      <c r="Z112" s="157"/>
      <c r="AA112" s="157"/>
      <c r="AB112" s="157"/>
      <c r="AC112" s="157">
        <v>-214477</v>
      </c>
      <c r="AD112" s="157"/>
      <c r="AE112" s="157"/>
      <c r="AF112" s="157"/>
      <c r="AG112" s="157"/>
      <c r="AH112" s="160"/>
      <c r="AI112" s="160"/>
      <c r="AJ112" s="160"/>
    </row>
    <row r="113" spans="2:36" x14ac:dyDescent="0.2">
      <c r="B113" t="s">
        <v>78</v>
      </c>
      <c r="I113" s="157">
        <v>1862</v>
      </c>
      <c r="J113" s="157"/>
      <c r="K113" s="157"/>
      <c r="L113" s="157"/>
      <c r="M113" s="157"/>
      <c r="N113" s="157">
        <v>1782</v>
      </c>
      <c r="O113" s="157"/>
      <c r="P113" s="157"/>
      <c r="Q113" s="157"/>
      <c r="R113" s="157"/>
      <c r="S113" s="157">
        <v>-3984</v>
      </c>
      <c r="T113" s="157"/>
      <c r="U113" s="157"/>
      <c r="V113" s="157"/>
      <c r="W113" s="157"/>
      <c r="X113" s="157">
        <v>3853</v>
      </c>
      <c r="Y113" s="157"/>
      <c r="Z113" s="157"/>
      <c r="AA113" s="157"/>
      <c r="AB113" s="157"/>
      <c r="AC113" s="157">
        <v>9431</v>
      </c>
      <c r="AD113" s="157"/>
      <c r="AE113" s="157"/>
      <c r="AF113" s="157"/>
      <c r="AG113" s="157"/>
      <c r="AH113" s="160"/>
      <c r="AI113" s="160"/>
      <c r="AJ113" s="160"/>
    </row>
    <row r="114" spans="2:36" x14ac:dyDescent="0.2">
      <c r="B114" t="s">
        <v>77</v>
      </c>
      <c r="I114" s="157">
        <v>721632</v>
      </c>
      <c r="J114" s="157"/>
      <c r="K114" s="157"/>
      <c r="L114" s="157"/>
      <c r="M114" s="157"/>
      <c r="N114" s="157">
        <v>663847</v>
      </c>
      <c r="O114" s="157"/>
      <c r="P114" s="157"/>
      <c r="Q114" s="157"/>
      <c r="R114" s="157"/>
      <c r="S114" s="157">
        <v>1282081</v>
      </c>
      <c r="T114" s="157"/>
      <c r="U114" s="157"/>
      <c r="V114" s="157"/>
      <c r="W114" s="157"/>
      <c r="X114" s="157">
        <v>1323179</v>
      </c>
      <c r="Y114" s="157"/>
      <c r="Z114" s="157"/>
      <c r="AA114" s="157"/>
      <c r="AB114" s="157"/>
      <c r="AC114" s="157">
        <v>1783477</v>
      </c>
      <c r="AD114" s="157"/>
      <c r="AE114" s="157"/>
      <c r="AF114" s="157"/>
      <c r="AG114" s="157"/>
      <c r="AH114" s="160"/>
      <c r="AI114" s="160"/>
      <c r="AJ114" s="160"/>
    </row>
    <row r="115" spans="2:36" x14ac:dyDescent="0.2">
      <c r="I115" s="157"/>
      <c r="J115" s="157"/>
      <c r="K115" s="157"/>
      <c r="L115" s="157"/>
      <c r="M115" s="157"/>
      <c r="N115" s="157"/>
      <c r="O115" s="157"/>
      <c r="P115" s="157"/>
      <c r="Q115" s="157"/>
      <c r="R115" s="157"/>
      <c r="S115" s="157"/>
      <c r="T115" s="157"/>
      <c r="U115" s="157"/>
      <c r="V115" s="157"/>
      <c r="W115" s="157"/>
      <c r="X115" s="157"/>
      <c r="Y115" s="157"/>
      <c r="Z115" s="157"/>
      <c r="AA115" s="157"/>
      <c r="AB115" s="157"/>
      <c r="AC115" s="157"/>
      <c r="AD115" s="157"/>
      <c r="AE115" s="157"/>
      <c r="AF115" s="157"/>
      <c r="AG115" s="157"/>
      <c r="AH115" s="160"/>
      <c r="AI115" s="160"/>
      <c r="AJ115" s="160"/>
    </row>
    <row r="116" spans="2:36" x14ac:dyDescent="0.2">
      <c r="B116" s="11" t="s">
        <v>76</v>
      </c>
      <c r="I116" s="157"/>
      <c r="J116" s="157"/>
      <c r="K116" s="157"/>
      <c r="L116" s="157"/>
      <c r="M116" s="157"/>
      <c r="N116" s="157"/>
      <c r="O116" s="157"/>
      <c r="P116" s="157"/>
      <c r="Q116" s="157"/>
      <c r="R116" s="157"/>
      <c r="S116" s="157"/>
      <c r="T116" s="157"/>
      <c r="U116" s="157"/>
      <c r="V116" s="157"/>
      <c r="W116" s="157"/>
      <c r="X116" s="157"/>
      <c r="Y116" s="157"/>
      <c r="Z116" s="157"/>
      <c r="AA116" s="157"/>
      <c r="AB116" s="157"/>
      <c r="AC116" s="157"/>
      <c r="AD116" s="157"/>
      <c r="AE116" s="157"/>
      <c r="AF116" s="157"/>
      <c r="AG116" s="157"/>
      <c r="AH116" s="160"/>
      <c r="AI116" s="160"/>
      <c r="AJ116" s="160"/>
    </row>
    <row r="117" spans="2:36" x14ac:dyDescent="0.2">
      <c r="B117" t="s">
        <v>75</v>
      </c>
      <c r="I117" s="157">
        <v>-333912</v>
      </c>
      <c r="J117" s="157"/>
      <c r="K117" s="157"/>
      <c r="L117" s="157"/>
      <c r="M117" s="157"/>
      <c r="N117" s="157">
        <v>-373352</v>
      </c>
      <c r="O117" s="157"/>
      <c r="P117" s="157"/>
      <c r="Q117" s="157"/>
      <c r="R117" s="157"/>
      <c r="S117" s="157">
        <v>-442475</v>
      </c>
      <c r="T117" s="157"/>
      <c r="U117" s="157"/>
      <c r="V117" s="157"/>
      <c r="W117" s="157"/>
      <c r="X117" s="157">
        <v>-479164</v>
      </c>
      <c r="Y117" s="157"/>
      <c r="Z117" s="157"/>
      <c r="AA117" s="157"/>
      <c r="AB117" s="157"/>
      <c r="AC117" s="157">
        <v>-560731</v>
      </c>
      <c r="AD117" s="157"/>
      <c r="AE117" s="157"/>
      <c r="AF117" s="157"/>
      <c r="AG117" s="157"/>
      <c r="AH117" s="160"/>
      <c r="AI117" s="160"/>
      <c r="AJ117" s="160"/>
    </row>
    <row r="118" spans="2:36" x14ac:dyDescent="0.2">
      <c r="B118" t="s">
        <v>74</v>
      </c>
      <c r="I118" s="157">
        <v>-448754</v>
      </c>
      <c r="J118" s="157"/>
      <c r="K118" s="157"/>
      <c r="L118" s="157"/>
      <c r="M118" s="157"/>
      <c r="N118" s="157">
        <v>-468418</v>
      </c>
      <c r="O118" s="157"/>
      <c r="P118" s="157"/>
      <c r="Q118" s="157"/>
      <c r="R118" s="157"/>
      <c r="S118" s="157">
        <v>-429350</v>
      </c>
      <c r="T118" s="157"/>
      <c r="U118" s="157"/>
      <c r="V118" s="157"/>
      <c r="W118" s="157"/>
      <c r="X118" s="157">
        <v>-614416</v>
      </c>
      <c r="Y118" s="157"/>
      <c r="Z118" s="157"/>
      <c r="AA118" s="157"/>
      <c r="AB118" s="157"/>
      <c r="AC118" s="157">
        <v>-1115131</v>
      </c>
      <c r="AD118" s="157"/>
      <c r="AE118" s="157"/>
      <c r="AF118" s="157"/>
      <c r="AG118" s="157"/>
      <c r="AH118" s="160"/>
      <c r="AI118" s="160"/>
      <c r="AJ118" s="160"/>
    </row>
    <row r="119" spans="2:36" x14ac:dyDescent="0.2">
      <c r="B119" t="s">
        <v>73</v>
      </c>
      <c r="I119" s="157">
        <v>476723</v>
      </c>
      <c r="J119" s="157"/>
      <c r="K119" s="157"/>
      <c r="L119" s="157"/>
      <c r="M119" s="157"/>
      <c r="N119" s="157">
        <v>419078</v>
      </c>
      <c r="O119" s="157"/>
      <c r="P119" s="157"/>
      <c r="Q119" s="157"/>
      <c r="R119" s="157"/>
      <c r="S119" s="157">
        <v>345748</v>
      </c>
      <c r="T119" s="157"/>
      <c r="U119" s="157"/>
      <c r="V119" s="157"/>
      <c r="W119" s="157"/>
      <c r="X119" s="157">
        <v>263548</v>
      </c>
      <c r="Y119" s="157"/>
      <c r="Z119" s="157"/>
      <c r="AA119" s="157"/>
      <c r="AB119" s="157"/>
      <c r="AC119" s="157">
        <v>729853</v>
      </c>
      <c r="AD119" s="157"/>
      <c r="AE119" s="157"/>
      <c r="AF119" s="157"/>
      <c r="AG119" s="157"/>
      <c r="AH119" s="160"/>
      <c r="AI119" s="160"/>
      <c r="AJ119" s="160"/>
    </row>
    <row r="120" spans="2:36" x14ac:dyDescent="0.2">
      <c r="B120" t="s">
        <v>72</v>
      </c>
      <c r="I120" s="157">
        <v>13969</v>
      </c>
      <c r="J120" s="157"/>
      <c r="K120" s="157"/>
      <c r="L120" s="157"/>
      <c r="M120" s="157"/>
      <c r="N120" s="157" t="s">
        <v>71</v>
      </c>
      <c r="O120" s="157"/>
      <c r="P120" s="157"/>
      <c r="Q120" s="157"/>
      <c r="R120" s="157"/>
      <c r="S120" s="157">
        <v>4035</v>
      </c>
      <c r="T120" s="157"/>
      <c r="U120" s="157"/>
      <c r="V120" s="157"/>
      <c r="W120" s="157"/>
      <c r="X120" s="157" t="s">
        <v>71</v>
      </c>
      <c r="Y120" s="157"/>
      <c r="Z120" s="157"/>
      <c r="AA120" s="157"/>
      <c r="AB120" s="157"/>
      <c r="AC120" s="157" t="s">
        <v>71</v>
      </c>
      <c r="AD120" s="157"/>
      <c r="AE120" s="157"/>
      <c r="AF120" s="157"/>
      <c r="AG120" s="157"/>
      <c r="AH120" s="160"/>
      <c r="AI120" s="160"/>
      <c r="AJ120" s="160"/>
    </row>
    <row r="121" spans="2:36" x14ac:dyDescent="0.2">
      <c r="B121" t="s">
        <v>106</v>
      </c>
      <c r="I121" s="157" t="s">
        <v>71</v>
      </c>
      <c r="J121" s="157"/>
      <c r="K121" s="157"/>
      <c r="L121" s="157"/>
      <c r="M121" s="157"/>
      <c r="N121" s="157">
        <v>-10025</v>
      </c>
      <c r="O121" s="157"/>
      <c r="P121" s="157"/>
      <c r="Q121" s="157"/>
      <c r="R121" s="157"/>
      <c r="S121" s="157"/>
      <c r="T121" s="157"/>
      <c r="U121" s="157"/>
      <c r="V121" s="157"/>
      <c r="W121" s="157"/>
      <c r="X121" s="157"/>
      <c r="Y121" s="157"/>
      <c r="Z121" s="157"/>
      <c r="AA121" s="157"/>
      <c r="AB121" s="157"/>
      <c r="AC121" s="157"/>
      <c r="AD121" s="157"/>
      <c r="AE121" s="157"/>
      <c r="AF121" s="157"/>
      <c r="AG121" s="157"/>
      <c r="AH121" s="160"/>
      <c r="AI121" s="160"/>
      <c r="AJ121" s="160"/>
    </row>
    <row r="122" spans="2:36" x14ac:dyDescent="0.2">
      <c r="B122" t="s">
        <v>70</v>
      </c>
      <c r="I122" s="157">
        <v>-291974</v>
      </c>
      <c r="J122" s="157"/>
      <c r="K122" s="157"/>
      <c r="L122" s="157"/>
      <c r="M122" s="157"/>
      <c r="N122" s="157">
        <v>-432717</v>
      </c>
      <c r="O122" s="157"/>
      <c r="P122" s="157"/>
      <c r="Q122" s="157"/>
      <c r="R122" s="157"/>
      <c r="S122" s="157">
        <v>-522042</v>
      </c>
      <c r="T122" s="157"/>
      <c r="U122" s="157"/>
      <c r="V122" s="157"/>
      <c r="W122" s="157"/>
      <c r="X122" s="157">
        <v>-830032</v>
      </c>
      <c r="Y122" s="157"/>
      <c r="Z122" s="157"/>
      <c r="AA122" s="157"/>
      <c r="AB122" s="157"/>
      <c r="AC122" s="157">
        <v>-946009</v>
      </c>
      <c r="AD122" s="157"/>
      <c r="AE122" s="157"/>
      <c r="AF122" s="157"/>
      <c r="AG122" s="157"/>
      <c r="AH122" s="160"/>
      <c r="AI122" s="160"/>
      <c r="AJ122" s="160"/>
    </row>
    <row r="123" spans="2:36" x14ac:dyDescent="0.2">
      <c r="I123" s="157"/>
      <c r="J123" s="157"/>
      <c r="K123" s="157"/>
      <c r="L123" s="157"/>
      <c r="M123" s="157"/>
      <c r="N123" s="157"/>
      <c r="O123" s="157"/>
      <c r="P123" s="157"/>
      <c r="Q123" s="157"/>
      <c r="R123" s="157"/>
      <c r="S123" s="157"/>
      <c r="T123" s="157"/>
      <c r="U123" s="157"/>
      <c r="V123" s="157"/>
      <c r="W123" s="157"/>
      <c r="X123" s="157"/>
      <c r="Y123" s="157"/>
      <c r="Z123" s="157"/>
      <c r="AA123" s="157"/>
      <c r="AB123" s="157"/>
      <c r="AC123" s="157"/>
      <c r="AD123" s="157"/>
      <c r="AE123" s="157"/>
      <c r="AF123" s="157"/>
      <c r="AG123" s="157"/>
      <c r="AH123" s="160"/>
      <c r="AI123" s="160"/>
      <c r="AJ123" s="160"/>
    </row>
    <row r="124" spans="2:36" x14ac:dyDescent="0.2">
      <c r="B124" s="11" t="s">
        <v>69</v>
      </c>
      <c r="I124" s="157"/>
      <c r="J124" s="157"/>
      <c r="K124" s="157"/>
      <c r="L124" s="157"/>
      <c r="M124" s="157"/>
      <c r="N124" s="157"/>
      <c r="O124" s="157"/>
      <c r="P124" s="157"/>
      <c r="Q124" s="157"/>
      <c r="R124" s="157"/>
      <c r="S124" s="157"/>
      <c r="T124" s="157"/>
      <c r="U124" s="157"/>
      <c r="V124" s="157"/>
      <c r="W124" s="157"/>
      <c r="X124" s="157"/>
      <c r="Y124" s="157"/>
      <c r="Z124" s="157"/>
      <c r="AA124" s="157"/>
      <c r="AB124" s="157"/>
      <c r="AC124" s="157"/>
      <c r="AD124" s="157"/>
      <c r="AE124" s="157"/>
      <c r="AF124" s="157"/>
      <c r="AG124" s="157"/>
      <c r="AH124" s="160"/>
      <c r="AI124" s="160"/>
      <c r="AJ124" s="160"/>
    </row>
    <row r="125" spans="2:36" x14ac:dyDescent="0.2">
      <c r="B125" t="s">
        <v>68</v>
      </c>
      <c r="I125" s="157">
        <v>-190617</v>
      </c>
      <c r="J125" s="157"/>
      <c r="K125" s="157"/>
      <c r="L125" s="157"/>
      <c r="M125" s="157"/>
      <c r="N125" s="157">
        <v>-54401</v>
      </c>
      <c r="O125" s="157"/>
      <c r="P125" s="157"/>
      <c r="Q125" s="157"/>
      <c r="R125" s="157"/>
      <c r="S125" s="157">
        <v>-466462</v>
      </c>
      <c r="T125" s="157"/>
      <c r="U125" s="157"/>
      <c r="V125" s="157"/>
      <c r="W125" s="157"/>
      <c r="X125" s="157">
        <v>-830140</v>
      </c>
      <c r="Y125" s="157"/>
      <c r="Z125" s="157"/>
      <c r="AA125" s="157"/>
      <c r="AB125" s="157"/>
      <c r="AC125" s="157">
        <v>-592349</v>
      </c>
      <c r="AD125" s="157"/>
      <c r="AE125" s="157"/>
      <c r="AF125" s="157"/>
      <c r="AG125" s="157"/>
      <c r="AH125" s="160"/>
      <c r="AI125" s="160"/>
      <c r="AJ125" s="160"/>
    </row>
    <row r="126" spans="2:36" x14ac:dyDescent="0.2">
      <c r="B126" t="s">
        <v>67</v>
      </c>
      <c r="I126" s="157">
        <v>-10420</v>
      </c>
      <c r="J126" s="157"/>
      <c r="K126" s="157"/>
      <c r="L126" s="157"/>
      <c r="M126" s="157"/>
      <c r="N126" s="157">
        <v>-48555</v>
      </c>
      <c r="O126" s="157"/>
      <c r="P126" s="157"/>
      <c r="Q126" s="157"/>
      <c r="R126" s="157"/>
      <c r="S126" s="157">
        <v>-79870</v>
      </c>
      <c r="T126" s="157"/>
      <c r="U126" s="157"/>
      <c r="V126" s="157"/>
      <c r="W126" s="157"/>
      <c r="X126" s="157">
        <v>-98970</v>
      </c>
      <c r="Y126" s="157"/>
      <c r="Z126" s="157"/>
      <c r="AA126" s="157"/>
      <c r="AB126" s="157"/>
      <c r="AC126" s="157">
        <v>-69146</v>
      </c>
      <c r="AD126" s="157"/>
      <c r="AE126" s="157"/>
      <c r="AF126" s="157"/>
      <c r="AG126" s="157"/>
      <c r="AH126" s="160"/>
      <c r="AI126" s="160"/>
      <c r="AJ126" s="160"/>
    </row>
    <row r="127" spans="2:36" x14ac:dyDescent="0.2">
      <c r="B127" t="s">
        <v>66</v>
      </c>
      <c r="I127" s="157">
        <v>-698</v>
      </c>
      <c r="J127" s="157"/>
      <c r="K127" s="157"/>
      <c r="L127" s="157"/>
      <c r="M127" s="157"/>
      <c r="N127" s="157">
        <v>-1895</v>
      </c>
      <c r="O127" s="157"/>
      <c r="P127" s="157"/>
      <c r="Q127" s="157"/>
      <c r="R127" s="157"/>
      <c r="S127" s="157">
        <v>-2274</v>
      </c>
      <c r="T127" s="157"/>
      <c r="U127" s="157"/>
      <c r="V127" s="157"/>
      <c r="W127" s="157"/>
      <c r="X127" s="157">
        <v>-294</v>
      </c>
      <c r="Y127" s="157"/>
      <c r="Z127" s="157"/>
      <c r="AA127" s="157"/>
      <c r="AB127" s="157"/>
      <c r="AC127" s="157">
        <v>843</v>
      </c>
      <c r="AD127" s="157"/>
      <c r="AE127" s="157"/>
      <c r="AF127" s="157"/>
      <c r="AG127" s="157"/>
      <c r="AH127" s="160"/>
      <c r="AI127" s="160"/>
      <c r="AJ127" s="160"/>
    </row>
    <row r="128" spans="2:36" x14ac:dyDescent="0.2">
      <c r="B128" t="s">
        <v>65</v>
      </c>
      <c r="I128" s="157">
        <v>-201735</v>
      </c>
      <c r="J128" s="157"/>
      <c r="K128" s="157"/>
      <c r="L128" s="157"/>
      <c r="M128" s="157"/>
      <c r="N128" s="157">
        <v>-104851</v>
      </c>
      <c r="O128" s="157"/>
      <c r="P128" s="157"/>
      <c r="Q128" s="157"/>
      <c r="R128" s="157"/>
      <c r="S128" s="157">
        <v>-548606</v>
      </c>
      <c r="T128" s="157"/>
      <c r="U128" s="157"/>
      <c r="V128" s="157"/>
      <c r="W128" s="157"/>
      <c r="X128" s="157">
        <v>-929404</v>
      </c>
      <c r="Y128" s="157"/>
      <c r="Z128" s="157"/>
      <c r="AA128" s="157"/>
      <c r="AB128" s="157"/>
      <c r="AC128" s="157">
        <v>-660652</v>
      </c>
      <c r="AD128" s="157"/>
      <c r="AE128" s="157"/>
      <c r="AF128" s="157"/>
      <c r="AG128" s="157"/>
      <c r="AH128" s="160"/>
      <c r="AI128" s="160"/>
      <c r="AJ128" s="160"/>
    </row>
    <row r="129" spans="2:36" x14ac:dyDescent="0.2">
      <c r="B129" t="s">
        <v>64</v>
      </c>
      <c r="I129" s="157">
        <v>406</v>
      </c>
      <c r="J129" s="157"/>
      <c r="K129" s="157"/>
      <c r="L129" s="157"/>
      <c r="M129" s="157"/>
      <c r="N129" s="157">
        <v>1076</v>
      </c>
      <c r="O129" s="157"/>
      <c r="P129" s="157"/>
      <c r="Q129" s="157"/>
      <c r="R129" s="157"/>
      <c r="S129" s="157">
        <v>-1039</v>
      </c>
      <c r="T129" s="157"/>
      <c r="U129" s="157"/>
      <c r="V129" s="157"/>
      <c r="W129" s="157"/>
      <c r="X129" s="157">
        <v>-1007</v>
      </c>
      <c r="Y129" s="157"/>
      <c r="Z129" s="157"/>
      <c r="AA129" s="157"/>
      <c r="AB129" s="157"/>
      <c r="AC129" s="157">
        <v>381</v>
      </c>
      <c r="AD129" s="157"/>
      <c r="AE129" s="157"/>
      <c r="AF129" s="157"/>
      <c r="AG129" s="157"/>
      <c r="AH129" s="160"/>
      <c r="AI129" s="160"/>
      <c r="AJ129" s="160"/>
    </row>
    <row r="130" spans="2:36" x14ac:dyDescent="0.2">
      <c r="B130" t="s">
        <v>63</v>
      </c>
      <c r="I130" s="157">
        <v>228329</v>
      </c>
      <c r="J130" s="157"/>
      <c r="K130" s="157"/>
      <c r="L130" s="157"/>
      <c r="M130" s="157"/>
      <c r="N130" s="157">
        <v>127355</v>
      </c>
      <c r="O130" s="157"/>
      <c r="P130" s="157"/>
      <c r="Q130" s="157"/>
      <c r="R130" s="157"/>
      <c r="S130" s="157">
        <v>210394</v>
      </c>
      <c r="T130" s="157"/>
      <c r="U130" s="157"/>
      <c r="V130" s="157"/>
      <c r="W130" s="157"/>
      <c r="X130" s="157">
        <v>-437264</v>
      </c>
      <c r="Y130" s="157"/>
      <c r="Z130" s="157"/>
      <c r="AA130" s="157"/>
      <c r="AB130" s="157"/>
      <c r="AC130" s="157">
        <v>177197</v>
      </c>
      <c r="AD130" s="157"/>
      <c r="AE130" s="157"/>
      <c r="AF130" s="157"/>
      <c r="AG130" s="157"/>
      <c r="AH130" s="160"/>
      <c r="AI130" s="160"/>
      <c r="AJ130" s="160"/>
    </row>
    <row r="131" spans="2:36" x14ac:dyDescent="0.2">
      <c r="B131" t="s">
        <v>62</v>
      </c>
      <c r="I131" s="157">
        <v>280152</v>
      </c>
      <c r="J131" s="157"/>
      <c r="K131" s="157"/>
      <c r="L131" s="157"/>
      <c r="M131" s="157"/>
      <c r="N131" s="157">
        <v>508481</v>
      </c>
      <c r="O131" s="157"/>
      <c r="P131" s="157"/>
      <c r="Q131" s="157"/>
      <c r="R131" s="157"/>
      <c r="S131" s="157">
        <v>635836</v>
      </c>
      <c r="T131" s="157"/>
      <c r="U131" s="157"/>
      <c r="V131" s="157"/>
      <c r="W131" s="157"/>
      <c r="X131" s="157">
        <v>846230</v>
      </c>
      <c r="Y131" s="157"/>
      <c r="Z131" s="157"/>
      <c r="AA131" s="157"/>
      <c r="AB131" s="157"/>
      <c r="AC131" s="157">
        <v>408966</v>
      </c>
      <c r="AD131" s="157"/>
      <c r="AE131" s="157"/>
      <c r="AF131" s="157"/>
      <c r="AG131" s="157"/>
      <c r="AH131" s="160"/>
      <c r="AI131" s="160"/>
      <c r="AJ131" s="160"/>
    </row>
    <row r="132" spans="2:36" x14ac:dyDescent="0.2">
      <c r="B132" t="s">
        <v>61</v>
      </c>
      <c r="I132" s="157">
        <v>508481</v>
      </c>
      <c r="J132" s="157"/>
      <c r="K132" s="157"/>
      <c r="L132" s="157"/>
      <c r="M132" s="157"/>
      <c r="N132" s="157">
        <v>635836</v>
      </c>
      <c r="O132" s="157"/>
      <c r="P132" s="157"/>
      <c r="Q132" s="157"/>
      <c r="R132" s="157"/>
      <c r="S132" s="157">
        <v>846230</v>
      </c>
      <c r="T132" s="157"/>
      <c r="U132" s="157"/>
      <c r="V132" s="157"/>
      <c r="W132" s="157"/>
      <c r="X132" s="157">
        <v>408966</v>
      </c>
      <c r="Y132" s="157"/>
      <c r="Z132" s="157"/>
      <c r="AA132" s="157"/>
      <c r="AB132" s="157"/>
      <c r="AC132" s="157">
        <v>586163</v>
      </c>
      <c r="AD132" s="157"/>
      <c r="AE132" s="157"/>
      <c r="AF132" s="157"/>
      <c r="AG132" s="157"/>
      <c r="AH132" s="160"/>
      <c r="AI132" s="160"/>
      <c r="AJ132" s="160"/>
    </row>
    <row r="133" spans="2:36" x14ac:dyDescent="0.2">
      <c r="I133" s="157"/>
      <c r="J133" s="157"/>
      <c r="K133" s="157"/>
      <c r="L133" s="157"/>
      <c r="M133" s="157"/>
      <c r="N133" s="157"/>
      <c r="O133" s="157"/>
      <c r="P133" s="157"/>
      <c r="Q133" s="157"/>
      <c r="R133" s="157"/>
      <c r="S133" s="157"/>
      <c r="T133" s="157"/>
      <c r="U133" s="157"/>
      <c r="V133" s="157"/>
      <c r="W133" s="157"/>
      <c r="X133" s="157"/>
      <c r="Y133" s="157"/>
      <c r="Z133" s="157"/>
      <c r="AA133" s="157"/>
      <c r="AB133" s="157"/>
      <c r="AC133" s="157"/>
      <c r="AD133" s="157"/>
      <c r="AE133" s="157"/>
      <c r="AF133" s="157"/>
      <c r="AG133" s="157"/>
      <c r="AH133" s="160"/>
      <c r="AI133" s="160"/>
      <c r="AJ133" s="160"/>
    </row>
    <row r="134" spans="2:36" x14ac:dyDescent="0.2">
      <c r="B134" s="11" t="s">
        <v>60</v>
      </c>
      <c r="I134" s="157"/>
      <c r="J134" s="157"/>
      <c r="K134" s="157"/>
      <c r="L134" s="157"/>
      <c r="M134" s="157"/>
      <c r="N134" s="157"/>
      <c r="O134" s="157"/>
      <c r="P134" s="157"/>
      <c r="Q134" s="157"/>
      <c r="R134" s="157"/>
      <c r="S134" s="157"/>
      <c r="T134" s="157"/>
      <c r="U134" s="157"/>
      <c r="V134" s="157"/>
      <c r="W134" s="157"/>
      <c r="X134" s="157"/>
      <c r="Y134" s="157"/>
      <c r="Z134" s="157"/>
      <c r="AA134" s="157"/>
      <c r="AB134" s="157"/>
      <c r="AC134" s="157"/>
      <c r="AD134" s="157"/>
      <c r="AE134" s="157"/>
      <c r="AF134" s="157"/>
      <c r="AG134" s="157"/>
      <c r="AH134" s="160"/>
      <c r="AI134" s="160"/>
      <c r="AJ134" s="160"/>
    </row>
    <row r="135" spans="2:36" x14ac:dyDescent="0.2">
      <c r="B135" t="s">
        <v>59</v>
      </c>
      <c r="I135" s="157">
        <v>109571</v>
      </c>
      <c r="J135" s="157"/>
      <c r="K135" s="157"/>
      <c r="L135" s="157"/>
      <c r="M135" s="157"/>
      <c r="N135" s="157">
        <v>85010</v>
      </c>
      <c r="O135" s="157"/>
      <c r="P135" s="157"/>
      <c r="Q135" s="157"/>
      <c r="R135" s="157"/>
      <c r="S135" s="157">
        <v>-17831</v>
      </c>
      <c r="T135" s="157"/>
      <c r="U135" s="157"/>
      <c r="V135" s="157"/>
      <c r="W135" s="157"/>
      <c r="X135" s="157">
        <v>275796</v>
      </c>
      <c r="Y135" s="157"/>
      <c r="Z135" s="157"/>
      <c r="AA135" s="157"/>
      <c r="AB135" s="157"/>
      <c r="AC135" s="157">
        <v>400229</v>
      </c>
      <c r="AD135" s="157"/>
      <c r="AE135" s="157"/>
      <c r="AF135" s="157"/>
      <c r="AG135" s="157"/>
      <c r="AH135" s="160"/>
      <c r="AI135" s="160"/>
      <c r="AJ135" s="160"/>
    </row>
    <row r="136" spans="2:36" x14ac:dyDescent="0.2">
      <c r="B136" t="s">
        <v>58</v>
      </c>
      <c r="I136" s="157">
        <v>36886</v>
      </c>
      <c r="J136" s="157"/>
      <c r="K136" s="157"/>
      <c r="L136" s="157"/>
      <c r="M136" s="157"/>
      <c r="N136" s="157">
        <v>46975</v>
      </c>
      <c r="O136" s="157"/>
      <c r="P136" s="157"/>
      <c r="Q136" s="157"/>
      <c r="R136" s="157"/>
      <c r="S136" s="157">
        <v>63802</v>
      </c>
      <c r="T136" s="157"/>
      <c r="U136" s="157"/>
      <c r="V136" s="157"/>
      <c r="W136" s="157"/>
      <c r="X136" s="157">
        <v>72021</v>
      </c>
      <c r="Y136" s="157"/>
      <c r="Z136" s="157"/>
      <c r="AA136" s="157"/>
      <c r="AB136" s="157"/>
      <c r="AC136" s="157">
        <v>76415</v>
      </c>
      <c r="AD136" s="157"/>
      <c r="AE136" s="157"/>
      <c r="AF136" s="157"/>
      <c r="AG136" s="157"/>
      <c r="AH136" s="160"/>
      <c r="AI136" s="160"/>
      <c r="AJ136" s="160"/>
    </row>
    <row r="137" spans="2:36" x14ac:dyDescent="0.2">
      <c r="B137" t="s">
        <v>57</v>
      </c>
      <c r="I137" s="157" t="s">
        <v>105</v>
      </c>
      <c r="J137" s="157"/>
      <c r="K137" s="157"/>
      <c r="L137" s="157"/>
      <c r="M137" s="157"/>
      <c r="N137" s="157" t="s">
        <v>105</v>
      </c>
      <c r="O137" s="157"/>
      <c r="P137" s="157"/>
      <c r="Q137" s="157"/>
      <c r="R137" s="157"/>
      <c r="S137" s="157">
        <v>7695</v>
      </c>
      <c r="T137" s="157"/>
      <c r="U137" s="157"/>
      <c r="V137" s="157"/>
      <c r="W137" s="157"/>
      <c r="X137" s="157">
        <v>4497</v>
      </c>
      <c r="Y137" s="157"/>
      <c r="Z137" s="157"/>
      <c r="AA137" s="157"/>
      <c r="AB137" s="157"/>
      <c r="AC137" s="157">
        <v>5643</v>
      </c>
      <c r="AD137" s="157"/>
      <c r="AE137" s="157"/>
      <c r="AF137" s="157"/>
      <c r="AG137" s="157"/>
      <c r="AH137" s="160"/>
      <c r="AI137" s="160"/>
      <c r="AJ137" s="160"/>
    </row>
    <row r="138" spans="2:36" x14ac:dyDescent="0.2">
      <c r="AH138" s="160"/>
      <c r="AI138" s="160"/>
      <c r="AJ138" s="160"/>
    </row>
    <row r="139" spans="2:36" x14ac:dyDescent="0.2">
      <c r="AH139" s="160"/>
      <c r="AI139" s="160"/>
      <c r="AJ139" s="160"/>
    </row>
    <row r="140" spans="2:36" x14ac:dyDescent="0.2">
      <c r="AH140" s="160"/>
      <c r="AI140" s="160"/>
      <c r="AJ140" s="160"/>
    </row>
    <row r="141" spans="2:36" x14ac:dyDescent="0.2">
      <c r="B141" s="175" t="s">
        <v>211</v>
      </c>
      <c r="C141" s="176"/>
      <c r="D141" s="176"/>
      <c r="E141" s="176"/>
      <c r="F141" s="176"/>
      <c r="G141" s="176"/>
      <c r="H141" s="176"/>
      <c r="I141" s="177">
        <f>I102+I103+I104+I107+I108+I109+I110+I111</f>
        <v>15420</v>
      </c>
      <c r="J141" s="177">
        <f t="shared" ref="J141:AC141" si="312">J102+J103+J104+J107+J108+J109+J110+J111</f>
        <v>0</v>
      </c>
      <c r="K141" s="177">
        <f t="shared" si="312"/>
        <v>0</v>
      </c>
      <c r="L141" s="177">
        <f t="shared" si="312"/>
        <v>0</v>
      </c>
      <c r="M141" s="177">
        <f t="shared" si="312"/>
        <v>0</v>
      </c>
      <c r="N141" s="177">
        <f t="shared" si="312"/>
        <v>-148699</v>
      </c>
      <c r="O141" s="177">
        <f t="shared" si="312"/>
        <v>0</v>
      </c>
      <c r="P141" s="177">
        <f t="shared" si="312"/>
        <v>0</v>
      </c>
      <c r="Q141" s="177">
        <f t="shared" si="312"/>
        <v>0</v>
      </c>
      <c r="R141" s="177">
        <f t="shared" si="312"/>
        <v>0</v>
      </c>
      <c r="S141" s="177">
        <f t="shared" si="312"/>
        <v>180743</v>
      </c>
      <c r="T141" s="177">
        <f t="shared" si="312"/>
        <v>0</v>
      </c>
      <c r="U141" s="177">
        <f t="shared" si="312"/>
        <v>0</v>
      </c>
      <c r="V141" s="177">
        <f t="shared" si="312"/>
        <v>0</v>
      </c>
      <c r="W141" s="177">
        <f t="shared" si="312"/>
        <v>0</v>
      </c>
      <c r="X141" s="177">
        <f t="shared" si="312"/>
        <v>48047</v>
      </c>
      <c r="Y141" s="177">
        <f t="shared" si="312"/>
        <v>0</v>
      </c>
      <c r="Z141" s="177">
        <f t="shared" si="312"/>
        <v>0</v>
      </c>
      <c r="AA141" s="177">
        <f t="shared" si="312"/>
        <v>0</v>
      </c>
      <c r="AB141" s="177">
        <f t="shared" si="312"/>
        <v>0</v>
      </c>
      <c r="AC141" s="177">
        <f t="shared" si="312"/>
        <v>41921</v>
      </c>
      <c r="AD141" s="176"/>
      <c r="AE141" s="176"/>
      <c r="AF141" s="176"/>
      <c r="AG141" s="176"/>
      <c r="AH141" s="259">
        <f>AH142*(AH10-AC10)</f>
        <v>90907.340302135548</v>
      </c>
      <c r="AI141" s="259">
        <f>AI142*(AI10-AH10)</f>
        <v>102985.48634697865</v>
      </c>
      <c r="AJ141" s="259">
        <f>AJ142*(AJ10-AI10)</f>
        <v>116502.5273258332</v>
      </c>
    </row>
    <row r="142" spans="2:36" x14ac:dyDescent="0.2">
      <c r="B142" s="119" t="s">
        <v>212</v>
      </c>
      <c r="I142" s="256" t="s">
        <v>132</v>
      </c>
      <c r="N142" s="180">
        <f>N141/(N10-I10)</f>
        <v>-0.37336697927259488</v>
      </c>
      <c r="O142" s="180" t="e">
        <f t="shared" ref="O142:AB142" si="313">O141/(O10-J10)</f>
        <v>#DIV/0!</v>
      </c>
      <c r="P142" s="180" t="e">
        <f t="shared" si="313"/>
        <v>#DIV/0!</v>
      </c>
      <c r="Q142" s="180" t="e">
        <f t="shared" si="313"/>
        <v>#DIV/0!</v>
      </c>
      <c r="R142" s="180" t="e">
        <f t="shared" si="313"/>
        <v>#DIV/0!</v>
      </c>
      <c r="S142" s="180">
        <f t="shared" si="313"/>
        <v>0.11568092461279791</v>
      </c>
      <c r="T142" s="180">
        <f t="shared" si="313"/>
        <v>0</v>
      </c>
      <c r="U142" s="180">
        <f t="shared" si="313"/>
        <v>0</v>
      </c>
      <c r="V142" s="180">
        <f t="shared" si="313"/>
        <v>0</v>
      </c>
      <c r="W142" s="180">
        <f t="shared" si="313"/>
        <v>0</v>
      </c>
      <c r="X142" s="180">
        <f t="shared" si="313"/>
        <v>4.4177452737288188E-2</v>
      </c>
      <c r="Y142" s="180">
        <f t="shared" si="313"/>
        <v>0</v>
      </c>
      <c r="Z142" s="180">
        <f t="shared" si="313"/>
        <v>0</v>
      </c>
      <c r="AA142" s="180">
        <f t="shared" si="313"/>
        <v>0</v>
      </c>
      <c r="AB142" s="180">
        <f t="shared" si="313"/>
        <v>0</v>
      </c>
      <c r="AC142" s="180">
        <f>AC141/(AC10-X10)</f>
        <v>3.3889330370243421E-2</v>
      </c>
      <c r="AH142" s="240">
        <f>AVERAGE(AC142,X142,S142)</f>
        <v>6.4582569240109841E-2</v>
      </c>
      <c r="AI142" s="240">
        <f>AH142</f>
        <v>6.4582569240109841E-2</v>
      </c>
      <c r="AJ142" s="240">
        <f>AI142</f>
        <v>6.4582569240109841E-2</v>
      </c>
    </row>
    <row r="143" spans="2:36" x14ac:dyDescent="0.2">
      <c r="AH143" s="160"/>
      <c r="AI143" s="160"/>
      <c r="AJ143" s="160"/>
    </row>
    <row r="144" spans="2:36" x14ac:dyDescent="0.2">
      <c r="B144" s="176" t="s">
        <v>213</v>
      </c>
      <c r="C144" s="176"/>
      <c r="D144" s="176"/>
      <c r="E144" s="176"/>
      <c r="F144" s="176"/>
      <c r="G144" s="176"/>
      <c r="H144" s="176"/>
      <c r="I144" s="177">
        <f>I117</f>
        <v>-333912</v>
      </c>
      <c r="J144" s="177">
        <f t="shared" ref="J144:AB144" si="314">J117</f>
        <v>0</v>
      </c>
      <c r="K144" s="177">
        <f t="shared" si="314"/>
        <v>0</v>
      </c>
      <c r="L144" s="177">
        <f t="shared" si="314"/>
        <v>0</v>
      </c>
      <c r="M144" s="177">
        <f t="shared" si="314"/>
        <v>0</v>
      </c>
      <c r="N144" s="177">
        <f t="shared" si="314"/>
        <v>-373352</v>
      </c>
      <c r="O144" s="177">
        <f t="shared" si="314"/>
        <v>0</v>
      </c>
      <c r="P144" s="177">
        <f t="shared" si="314"/>
        <v>0</v>
      </c>
      <c r="Q144" s="177">
        <f t="shared" si="314"/>
        <v>0</v>
      </c>
      <c r="R144" s="177">
        <f t="shared" si="314"/>
        <v>0</v>
      </c>
      <c r="S144" s="177">
        <f t="shared" si="314"/>
        <v>-442475</v>
      </c>
      <c r="T144" s="177">
        <f t="shared" si="314"/>
        <v>0</v>
      </c>
      <c r="U144" s="177">
        <f t="shared" si="314"/>
        <v>0</v>
      </c>
      <c r="V144" s="177">
        <f t="shared" si="314"/>
        <v>0</v>
      </c>
      <c r="W144" s="177">
        <f t="shared" si="314"/>
        <v>0</v>
      </c>
      <c r="X144" s="177">
        <f t="shared" si="314"/>
        <v>-479164</v>
      </c>
      <c r="Y144" s="177">
        <f t="shared" si="314"/>
        <v>0</v>
      </c>
      <c r="Z144" s="177">
        <f t="shared" si="314"/>
        <v>0</v>
      </c>
      <c r="AA144" s="177">
        <f t="shared" si="314"/>
        <v>0</v>
      </c>
      <c r="AB144" s="177">
        <f t="shared" si="314"/>
        <v>0</v>
      </c>
      <c r="AC144" s="177">
        <f>AC117</f>
        <v>-560731</v>
      </c>
      <c r="AD144" s="176"/>
      <c r="AE144" s="176"/>
      <c r="AF144" s="176"/>
      <c r="AG144" s="176"/>
      <c r="AH144" s="259">
        <f>-AH146*AH13</f>
        <v>-658907.30098045222</v>
      </c>
      <c r="AI144" s="259">
        <f t="shared" ref="AI144:AJ144" si="315">-AI146*AI13</f>
        <v>-777132.86661427678</v>
      </c>
      <c r="AJ144" s="259">
        <f t="shared" si="315"/>
        <v>-919944.34786811704</v>
      </c>
    </row>
    <row r="145" spans="2:36" x14ac:dyDescent="0.2">
      <c r="B145" s="119" t="s">
        <v>206</v>
      </c>
      <c r="I145" s="180">
        <f t="shared" ref="I145:AC145" si="316">I144/I10</f>
        <v>-5.9772635857029854E-2</v>
      </c>
      <c r="J145" s="180" t="e">
        <f t="shared" si="316"/>
        <v>#DIV/0!</v>
      </c>
      <c r="K145" s="180" t="e">
        <f t="shared" si="316"/>
        <v>#DIV/0!</v>
      </c>
      <c r="L145" s="180" t="e">
        <f t="shared" si="316"/>
        <v>#DIV/0!</v>
      </c>
      <c r="M145" s="180" t="e">
        <f t="shared" si="316"/>
        <v>#DIV/0!</v>
      </c>
      <c r="N145" s="180">
        <f t="shared" si="316"/>
        <v>-6.2385101578475807E-2</v>
      </c>
      <c r="O145" s="180" t="e">
        <f t="shared" si="316"/>
        <v>#DIV/0!</v>
      </c>
      <c r="P145" s="180" t="e">
        <f t="shared" si="316"/>
        <v>#DIV/0!</v>
      </c>
      <c r="Q145" s="180" t="e">
        <f t="shared" si="316"/>
        <v>#DIV/0!</v>
      </c>
      <c r="R145" s="180" t="e">
        <f t="shared" si="316"/>
        <v>#DIV/0!</v>
      </c>
      <c r="S145" s="180">
        <f t="shared" si="316"/>
        <v>-5.8628782780475737E-2</v>
      </c>
      <c r="T145" s="180">
        <f t="shared" si="316"/>
        <v>0</v>
      </c>
      <c r="U145" s="180">
        <f t="shared" si="316"/>
        <v>0</v>
      </c>
      <c r="V145" s="180">
        <f t="shared" si="316"/>
        <v>0</v>
      </c>
      <c r="W145" s="180">
        <f t="shared" si="316"/>
        <v>0</v>
      </c>
      <c r="X145" s="180">
        <f t="shared" si="316"/>
        <v>-5.549314552572588E-2</v>
      </c>
      <c r="Y145" s="180">
        <f t="shared" si="316"/>
        <v>0</v>
      </c>
      <c r="Z145" s="180">
        <f t="shared" si="316"/>
        <v>0</v>
      </c>
      <c r="AA145" s="180">
        <f t="shared" si="316"/>
        <v>0</v>
      </c>
      <c r="AB145" s="180">
        <f t="shared" si="316"/>
        <v>0</v>
      </c>
      <c r="AC145" s="180">
        <f t="shared" si="316"/>
        <v>-5.6802161422068391E-2</v>
      </c>
      <c r="AH145" s="160"/>
      <c r="AI145" s="160"/>
      <c r="AJ145" s="160"/>
    </row>
    <row r="146" spans="2:36" x14ac:dyDescent="0.2">
      <c r="B146" t="s">
        <v>226</v>
      </c>
      <c r="I146" s="255">
        <f>-I144/I13</f>
        <v>127.35011441647598</v>
      </c>
      <c r="J146" s="255" t="e">
        <f t="shared" ref="J146:AB146" si="317">-J144/J13</f>
        <v>#DIV/0!</v>
      </c>
      <c r="K146" s="255" t="e">
        <f t="shared" si="317"/>
        <v>#DIV/0!</v>
      </c>
      <c r="L146" s="255" t="e">
        <f t="shared" si="317"/>
        <v>#DIV/0!</v>
      </c>
      <c r="M146" s="255" t="e">
        <f t="shared" si="317"/>
        <v>#DIV/0!</v>
      </c>
      <c r="N146" s="255">
        <f t="shared" si="317"/>
        <v>134.88150289017341</v>
      </c>
      <c r="O146" s="255" t="e">
        <f t="shared" si="317"/>
        <v>#DIV/0!</v>
      </c>
      <c r="P146" s="255" t="e">
        <f t="shared" si="317"/>
        <v>#DIV/0!</v>
      </c>
      <c r="Q146" s="255" t="e">
        <f t="shared" si="317"/>
        <v>#DIV/0!</v>
      </c>
      <c r="R146" s="255" t="e">
        <f t="shared" si="317"/>
        <v>#DIV/0!</v>
      </c>
      <c r="S146" s="255">
        <f t="shared" si="317"/>
        <v>149.18240053944706</v>
      </c>
      <c r="T146" s="255" t="e">
        <f t="shared" si="317"/>
        <v>#DIV/0!</v>
      </c>
      <c r="U146" s="255" t="e">
        <f t="shared" si="317"/>
        <v>#DIV/0!</v>
      </c>
      <c r="V146" s="255" t="e">
        <f t="shared" si="317"/>
        <v>#DIV/0!</v>
      </c>
      <c r="W146" s="255" t="e">
        <f t="shared" si="317"/>
        <v>#DIV/0!</v>
      </c>
      <c r="X146" s="255">
        <f t="shared" si="317"/>
        <v>150.34954502667085</v>
      </c>
      <c r="Y146" s="255" t="e">
        <f t="shared" si="317"/>
        <v>#DIV/0!</v>
      </c>
      <c r="Z146" s="255" t="e">
        <f t="shared" si="317"/>
        <v>#DIV/0!</v>
      </c>
      <c r="AA146" s="255" t="e">
        <f t="shared" si="317"/>
        <v>#DIV/0!</v>
      </c>
      <c r="AB146" s="255" t="e">
        <f t="shared" si="317"/>
        <v>#DIV/0!</v>
      </c>
      <c r="AC146" s="255">
        <f>-AC144/AC13</f>
        <v>163.14547570555717</v>
      </c>
      <c r="AH146" s="188">
        <f>AC146*(1+AH147)</f>
        <v>177.03044088674156</v>
      </c>
      <c r="AI146" s="188">
        <f>AH146*(1+AI147)</f>
        <v>192.09712598537345</v>
      </c>
      <c r="AJ146" s="188">
        <f>AI146*(1+AJ147)</f>
        <v>208.44610467557226</v>
      </c>
    </row>
    <row r="147" spans="2:36" x14ac:dyDescent="0.2">
      <c r="B147" t="s">
        <v>254</v>
      </c>
      <c r="I147" s="256" t="s">
        <v>132</v>
      </c>
      <c r="N147" s="180">
        <f>N146/I146-1</f>
        <v>5.9139236020372632E-2</v>
      </c>
      <c r="O147" s="180" t="e">
        <f t="shared" ref="O147:AB147" si="318">O146/J146-1</f>
        <v>#DIV/0!</v>
      </c>
      <c r="P147" s="180" t="e">
        <f t="shared" si="318"/>
        <v>#DIV/0!</v>
      </c>
      <c r="Q147" s="180" t="e">
        <f t="shared" si="318"/>
        <v>#DIV/0!</v>
      </c>
      <c r="R147" s="180" t="e">
        <f t="shared" si="318"/>
        <v>#DIV/0!</v>
      </c>
      <c r="S147" s="180">
        <f>S146/N146-1</f>
        <v>0.10602563986047886</v>
      </c>
      <c r="T147" s="180" t="e">
        <f t="shared" si="318"/>
        <v>#DIV/0!</v>
      </c>
      <c r="U147" s="180" t="e">
        <f t="shared" si="318"/>
        <v>#DIV/0!</v>
      </c>
      <c r="V147" s="180" t="e">
        <f t="shared" si="318"/>
        <v>#DIV/0!</v>
      </c>
      <c r="W147" s="180" t="e">
        <f t="shared" si="318"/>
        <v>#DIV/0!</v>
      </c>
      <c r="X147" s="180">
        <f>X146/S146-1</f>
        <v>7.8236070944250891E-3</v>
      </c>
      <c r="Y147" s="180" t="e">
        <f t="shared" si="318"/>
        <v>#DIV/0!</v>
      </c>
      <c r="Z147" s="180" t="e">
        <f t="shared" si="318"/>
        <v>#DIV/0!</v>
      </c>
      <c r="AA147" s="180" t="e">
        <f t="shared" si="318"/>
        <v>#DIV/0!</v>
      </c>
      <c r="AB147" s="180" t="e">
        <f t="shared" si="318"/>
        <v>#DIV/0!</v>
      </c>
      <c r="AC147" s="180">
        <f>AC146/X146-1</f>
        <v>8.5107877623549877E-2</v>
      </c>
      <c r="AH147" s="240">
        <f>AC147</f>
        <v>8.5107877623549877E-2</v>
      </c>
      <c r="AI147" s="240">
        <f>AH147</f>
        <v>8.5107877623549877E-2</v>
      </c>
      <c r="AJ147" s="240">
        <f>AI147</f>
        <v>8.5107877623549877E-2</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81C36-2C2F-40BD-89CD-FAA71E852FF3}">
  <sheetPr>
    <tabColor theme="5"/>
  </sheetPr>
  <dimension ref="A1:AB80"/>
  <sheetViews>
    <sheetView showGridLines="0" zoomScaleNormal="100" workbookViewId="0">
      <selection activeCell="J22" sqref="J22"/>
    </sheetView>
  </sheetViews>
  <sheetFormatPr baseColWidth="10" defaultColWidth="8.83203125" defaultRowHeight="15" outlineLevelRow="1" x14ac:dyDescent="0.2"/>
  <cols>
    <col min="1" max="1" width="3.5" style="139" customWidth="1"/>
    <col min="2" max="3" width="8.6640625" customWidth="1"/>
    <col min="4" max="4" width="10.5" bestFit="1" customWidth="1"/>
    <col min="5" max="5" width="12.6640625" bestFit="1" customWidth="1"/>
    <col min="6" max="8" width="8.83203125" bestFit="1" customWidth="1"/>
    <col min="9" max="10" width="8.83203125" customWidth="1"/>
    <col min="11" max="12" width="8.83203125" bestFit="1" customWidth="1"/>
    <col min="13" max="13" width="9.6640625" bestFit="1" customWidth="1"/>
    <col min="14" max="14" width="8.83203125" customWidth="1"/>
    <col min="15" max="16" width="8.83203125" bestFit="1" customWidth="1"/>
    <col min="17" max="17" width="8.83203125" customWidth="1"/>
    <col min="18" max="18" width="9.5" customWidth="1"/>
    <col min="19" max="19" width="9.83203125" customWidth="1"/>
    <col min="20" max="20" width="6.33203125" customWidth="1"/>
  </cols>
  <sheetData>
    <row r="1" spans="1:28" x14ac:dyDescent="0.2">
      <c r="C1" t="s">
        <v>267</v>
      </c>
    </row>
    <row r="2" spans="1:28" s="8" customFormat="1" ht="21" x14ac:dyDescent="0.25">
      <c r="A2" s="260"/>
      <c r="B2" s="261" t="s">
        <v>367</v>
      </c>
      <c r="C2" s="261"/>
      <c r="E2" s="295" t="s">
        <v>303</v>
      </c>
    </row>
    <row r="3" spans="1:28" x14ac:dyDescent="0.2">
      <c r="B3" s="294"/>
    </row>
    <row r="4" spans="1:28" x14ac:dyDescent="0.2">
      <c r="B4" t="s">
        <v>123</v>
      </c>
      <c r="D4" s="262" t="s">
        <v>266</v>
      </c>
      <c r="F4" s="11" t="s">
        <v>141</v>
      </c>
      <c r="I4" s="419">
        <f ca="1">N80</f>
        <v>47.546435962690609</v>
      </c>
    </row>
    <row r="5" spans="1:28" x14ac:dyDescent="0.2">
      <c r="B5" t="s">
        <v>157</v>
      </c>
      <c r="D5" s="264">
        <v>45491</v>
      </c>
      <c r="F5" s="11" t="s">
        <v>268</v>
      </c>
      <c r="I5" s="419">
        <v>53.27</v>
      </c>
    </row>
    <row r="6" spans="1:28" x14ac:dyDescent="0.2">
      <c r="B6" t="s">
        <v>269</v>
      </c>
      <c r="D6" s="264">
        <v>45657</v>
      </c>
      <c r="F6" s="11" t="s">
        <v>270</v>
      </c>
      <c r="I6" s="420">
        <f ca="1">I4/I5-1</f>
        <v>-0.10744441594348397</v>
      </c>
    </row>
    <row r="7" spans="1:28" x14ac:dyDescent="0.2">
      <c r="T7" s="442" t="s">
        <v>256</v>
      </c>
      <c r="U7" s="443" t="s">
        <v>257</v>
      </c>
      <c r="V7" s="443"/>
      <c r="W7" s="443"/>
      <c r="X7" s="443"/>
      <c r="Y7" s="443"/>
      <c r="Z7" s="443"/>
      <c r="AA7" s="443"/>
    </row>
    <row r="8" spans="1:28" x14ac:dyDescent="0.2">
      <c r="A8" s="139" t="s">
        <v>271</v>
      </c>
      <c r="B8" s="265" t="s">
        <v>272</v>
      </c>
      <c r="C8" s="265"/>
      <c r="D8" s="265"/>
      <c r="E8" s="265"/>
      <c r="F8" s="265"/>
      <c r="G8" s="265"/>
      <c r="H8" s="265"/>
      <c r="I8" s="265"/>
      <c r="J8" s="265"/>
      <c r="K8" s="265"/>
      <c r="L8" s="265"/>
      <c r="M8" s="265"/>
      <c r="N8" s="265"/>
      <c r="O8" s="265"/>
      <c r="P8" s="265"/>
      <c r="Q8" s="265"/>
      <c r="R8" s="311"/>
      <c r="S8" s="311"/>
      <c r="T8" s="442"/>
      <c r="U8" s="411">
        <f ca="1">I4</f>
        <v>47.546435962690609</v>
      </c>
      <c r="V8" s="412">
        <v>7.0000000000000007E-2</v>
      </c>
      <c r="W8" s="412">
        <f>V8+0.5%</f>
        <v>7.5000000000000011E-2</v>
      </c>
      <c r="X8" s="412">
        <f t="shared" ref="X8:AA8" si="0">W8+0.5%</f>
        <v>8.0000000000000016E-2</v>
      </c>
      <c r="Y8" s="412">
        <f>X8+0.5%</f>
        <v>8.500000000000002E-2</v>
      </c>
      <c r="Z8" s="412">
        <f t="shared" si="0"/>
        <v>9.0000000000000024E-2</v>
      </c>
      <c r="AA8" s="412">
        <f t="shared" si="0"/>
        <v>9.5000000000000029E-2</v>
      </c>
      <c r="AB8" s="277"/>
    </row>
    <row r="9" spans="1:28" x14ac:dyDescent="0.2">
      <c r="B9" s="266" t="s">
        <v>273</v>
      </c>
      <c r="C9" s="266"/>
      <c r="G9" s="266" t="s">
        <v>274</v>
      </c>
      <c r="K9" s="266" t="s">
        <v>275</v>
      </c>
      <c r="O9" s="266" t="s">
        <v>276</v>
      </c>
      <c r="T9" s="442"/>
      <c r="U9" s="412">
        <v>0.01</v>
      </c>
      <c r="V9" s="413">
        <f t="dataTable" ref="V9:AA15" dt2D="1" dtr="1" r1="E15" r2="E16" ca="1"/>
        <v>49.835758241100258</v>
      </c>
      <c r="W9" s="413">
        <v>46.085595450222542</v>
      </c>
      <c r="X9" s="413">
        <v>42.872432844746221</v>
      </c>
      <c r="Y9" s="413">
        <v>40.088844364461309</v>
      </c>
      <c r="Z9" s="413">
        <v>37.654261094356379</v>
      </c>
      <c r="AA9" s="413">
        <v>35.507072086318033</v>
      </c>
    </row>
    <row r="10" spans="1:28" x14ac:dyDescent="0.2">
      <c r="B10" t="s">
        <v>126</v>
      </c>
      <c r="E10" s="262">
        <v>2</v>
      </c>
      <c r="G10" t="s">
        <v>277</v>
      </c>
      <c r="H10" s="200">
        <v>24</v>
      </c>
      <c r="I10" s="267">
        <v>0.14299999999999999</v>
      </c>
      <c r="K10" t="s">
        <v>126</v>
      </c>
      <c r="L10" s="200">
        <v>24</v>
      </c>
      <c r="M10" s="267">
        <f>J20</f>
        <v>0.14259159547836431</v>
      </c>
      <c r="O10" t="s">
        <v>126</v>
      </c>
      <c r="P10" s="200">
        <v>24</v>
      </c>
      <c r="Q10" s="267">
        <v>0.15</v>
      </c>
      <c r="T10" s="442"/>
      <c r="U10" s="412">
        <f>U9+0.5%</f>
        <v>1.4999999999999999E-2</v>
      </c>
      <c r="V10" s="413">
        <v>53.583209004925294</v>
      </c>
      <c r="W10" s="413">
        <v>49.213163867479288</v>
      </c>
      <c r="X10" s="413">
        <v>45.516724302820087</v>
      </c>
      <c r="Y10" s="413">
        <v>42.349519690224945</v>
      </c>
      <c r="Z10" s="413">
        <v>39.605678882117147</v>
      </c>
      <c r="AA10" s="413">
        <v>37.205799100521382</v>
      </c>
    </row>
    <row r="11" spans="1:28" x14ac:dyDescent="0.2">
      <c r="B11" t="s">
        <v>278</v>
      </c>
      <c r="E11" s="262">
        <v>2</v>
      </c>
      <c r="G11" t="s">
        <v>126</v>
      </c>
      <c r="H11" s="200">
        <v>28</v>
      </c>
      <c r="I11" s="267">
        <v>0.11</v>
      </c>
      <c r="K11" t="s">
        <v>126</v>
      </c>
      <c r="L11" s="200">
        <v>28</v>
      </c>
      <c r="M11" s="267">
        <f>N20</f>
        <v>0.13012319494789559</v>
      </c>
      <c r="O11" t="s">
        <v>279</v>
      </c>
      <c r="P11" s="200">
        <v>28</v>
      </c>
      <c r="Q11" s="267">
        <v>0.14000000000000001</v>
      </c>
      <c r="T11" s="442"/>
      <c r="U11" s="412">
        <f t="shared" ref="U11:U15" si="1">U10+0.5%</f>
        <v>0.02</v>
      </c>
      <c r="V11" s="413">
        <v>58.080149921515343</v>
      </c>
      <c r="W11" s="413">
        <v>52.909381087873641</v>
      </c>
      <c r="X11" s="413">
        <v>48.601731003906274</v>
      </c>
      <c r="Y11" s="413">
        <v>44.957991219952213</v>
      </c>
      <c r="Z11" s="413">
        <v>41.835870639558017</v>
      </c>
      <c r="AA11" s="413">
        <v>39.131023049951857</v>
      </c>
    </row>
    <row r="12" spans="1:28" x14ac:dyDescent="0.2">
      <c r="B12" t="s">
        <v>257</v>
      </c>
      <c r="E12" s="262">
        <v>2</v>
      </c>
      <c r="G12" t="s">
        <v>278</v>
      </c>
      <c r="H12" s="200">
        <v>24</v>
      </c>
      <c r="I12" s="267">
        <f>M12</f>
        <v>0.16149999999999998</v>
      </c>
      <c r="K12" t="s">
        <v>278</v>
      </c>
      <c r="L12" s="200">
        <v>24</v>
      </c>
      <c r="M12" s="267">
        <f>J23</f>
        <v>0.16149999999999998</v>
      </c>
      <c r="O12" t="s">
        <v>278</v>
      </c>
      <c r="P12" s="200">
        <v>24</v>
      </c>
      <c r="Q12" s="267">
        <f>M12</f>
        <v>0.16149999999999998</v>
      </c>
      <c r="T12" s="442"/>
      <c r="U12" s="412">
        <f t="shared" si="1"/>
        <v>2.5000000000000001E-2</v>
      </c>
      <c r="V12" s="413">
        <v>63.576411041792035</v>
      </c>
      <c r="W12" s="413">
        <v>57.344841752346845</v>
      </c>
      <c r="X12" s="413">
        <v>52.247648014280827</v>
      </c>
      <c r="Y12" s="413">
        <v>48.001208004634016</v>
      </c>
      <c r="Z12" s="413">
        <v>44.409168821220554</v>
      </c>
      <c r="AA12" s="413">
        <v>41.33127899215809</v>
      </c>
    </row>
    <row r="13" spans="1:28" x14ac:dyDescent="0.2">
      <c r="B13" t="s">
        <v>280</v>
      </c>
      <c r="E13" s="262">
        <v>2</v>
      </c>
      <c r="G13" t="s">
        <v>278</v>
      </c>
      <c r="H13" s="200">
        <v>29</v>
      </c>
      <c r="I13" s="267">
        <f>M13-5%</f>
        <v>0.15351849104677051</v>
      </c>
      <c r="K13" t="s">
        <v>278</v>
      </c>
      <c r="L13" s="200">
        <v>29</v>
      </c>
      <c r="M13" s="267">
        <f>N23</f>
        <v>0.20351849104677053</v>
      </c>
      <c r="O13" t="s">
        <v>278</v>
      </c>
      <c r="P13" s="200">
        <v>29</v>
      </c>
      <c r="Q13" s="267">
        <f>M13+5%</f>
        <v>0.25351849104677054</v>
      </c>
      <c r="T13" s="442"/>
      <c r="U13" s="412">
        <f t="shared" si="1"/>
        <v>3.0000000000000002E-2</v>
      </c>
      <c r="V13" s="413">
        <v>70.44673744213793</v>
      </c>
      <c r="W13" s="413">
        <v>62.765960342258552</v>
      </c>
      <c r="X13" s="413">
        <v>56.622748426730318</v>
      </c>
      <c r="Y13" s="413">
        <v>51.597736931985267</v>
      </c>
      <c r="Z13" s="413">
        <v>47.411350033160197</v>
      </c>
      <c r="AA13" s="413">
        <v>43.870035848549918</v>
      </c>
    </row>
    <row r="14" spans="1:28" x14ac:dyDescent="0.2">
      <c r="K14" t="s">
        <v>261</v>
      </c>
      <c r="M14" s="267">
        <v>0.24199999999999999</v>
      </c>
      <c r="T14" s="442"/>
      <c r="U14" s="412">
        <f t="shared" si="1"/>
        <v>3.5000000000000003E-2</v>
      </c>
      <c r="V14" s="413">
        <v>79.280014242582666</v>
      </c>
      <c r="W14" s="413">
        <v>69.542358579648194</v>
      </c>
      <c r="X14" s="413">
        <v>61.970093375279689</v>
      </c>
      <c r="Y14" s="413">
        <v>55.913571644806751</v>
      </c>
      <c r="Z14" s="413">
        <v>50.959382374543395</v>
      </c>
      <c r="AA14" s="413">
        <v>46.831918847673712</v>
      </c>
    </row>
    <row r="15" spans="1:28" x14ac:dyDescent="0.2">
      <c r="B15" t="s">
        <v>257</v>
      </c>
      <c r="E15" s="268">
        <f>CHOOSE(E12,I15,M15,Q15)</f>
        <v>8.5589999999999999E-2</v>
      </c>
      <c r="G15" t="s">
        <v>257</v>
      </c>
      <c r="I15" s="267">
        <v>0.09</v>
      </c>
      <c r="K15" t="s">
        <v>257</v>
      </c>
      <c r="M15" s="269">
        <f>WACC!F22</f>
        <v>8.5589999999999999E-2</v>
      </c>
      <c r="O15" t="s">
        <v>257</v>
      </c>
      <c r="Q15" s="267">
        <v>0.08</v>
      </c>
      <c r="T15" s="442"/>
      <c r="U15" s="412">
        <f t="shared" si="1"/>
        <v>0.04</v>
      </c>
      <c r="V15" s="413">
        <v>91.057716643175624</v>
      </c>
      <c r="W15" s="413">
        <v>78.254870599149172</v>
      </c>
      <c r="X15" s="413">
        <v>68.6542745609664</v>
      </c>
      <c r="Y15" s="413">
        <v>61.188480738255215</v>
      </c>
      <c r="Z15" s="413">
        <v>55.217021184203247</v>
      </c>
      <c r="AA15" s="413">
        <v>50.332326028456379</v>
      </c>
    </row>
    <row r="16" spans="1:28" x14ac:dyDescent="0.2">
      <c r="B16" t="s">
        <v>280</v>
      </c>
      <c r="E16" s="268">
        <f>CHOOSE(E13,I16,M16,Q16)</f>
        <v>2.5000000000000001E-2</v>
      </c>
      <c r="G16" t="s">
        <v>280</v>
      </c>
      <c r="I16" s="267">
        <v>0.02</v>
      </c>
      <c r="K16" t="s">
        <v>280</v>
      </c>
      <c r="M16" s="267">
        <v>2.5000000000000001E-2</v>
      </c>
      <c r="O16" t="s">
        <v>280</v>
      </c>
      <c r="Q16" s="269">
        <v>0.03</v>
      </c>
      <c r="U16" s="277"/>
      <c r="V16" s="277"/>
      <c r="W16" s="277"/>
      <c r="X16" s="277"/>
      <c r="Y16" s="277"/>
      <c r="Z16" s="277"/>
      <c r="AA16" s="277"/>
    </row>
    <row r="18" spans="1:16" outlineLevel="1" x14ac:dyDescent="0.2">
      <c r="A18" s="139" t="s">
        <v>271</v>
      </c>
      <c r="B18" s="265" t="s">
        <v>281</v>
      </c>
      <c r="C18" s="265"/>
      <c r="D18" s="265"/>
      <c r="E18" s="265">
        <v>2019</v>
      </c>
      <c r="F18" s="265">
        <f t="shared" ref="F18:N18" si="2">E18+1</f>
        <v>2020</v>
      </c>
      <c r="G18" s="265">
        <f t="shared" si="2"/>
        <v>2021</v>
      </c>
      <c r="H18" s="265">
        <f t="shared" si="2"/>
        <v>2022</v>
      </c>
      <c r="I18" s="265">
        <f t="shared" si="2"/>
        <v>2023</v>
      </c>
      <c r="J18" s="270">
        <f t="shared" si="2"/>
        <v>2024</v>
      </c>
      <c r="K18" s="270">
        <f t="shared" si="2"/>
        <v>2025</v>
      </c>
      <c r="L18" s="270">
        <f t="shared" si="2"/>
        <v>2026</v>
      </c>
      <c r="M18" s="270">
        <f t="shared" si="2"/>
        <v>2027</v>
      </c>
      <c r="N18" s="270">
        <f t="shared" si="2"/>
        <v>2028</v>
      </c>
    </row>
    <row r="19" spans="1:16" outlineLevel="1" x14ac:dyDescent="0.2">
      <c r="B19" t="s">
        <v>126</v>
      </c>
      <c r="E19" s="271">
        <f>MOD!I10/1000</f>
        <v>5586.3689999999997</v>
      </c>
      <c r="F19" s="271">
        <f>MOD!N10/1000</f>
        <v>5984.634</v>
      </c>
      <c r="G19" s="271">
        <f>MOD!S10/1000</f>
        <v>7547.0609999999997</v>
      </c>
      <c r="H19" s="271">
        <f>MOD!X10/1000</f>
        <v>8634.652</v>
      </c>
      <c r="I19" s="271">
        <f>MOD!AC10/1000</f>
        <v>9871.6489999999994</v>
      </c>
      <c r="J19" s="272">
        <f>MOD!AH10/1000</f>
        <v>11279.2631809124</v>
      </c>
      <c r="K19" s="272">
        <f>MOD!AI10/1000</f>
        <v>12873.896029353155</v>
      </c>
      <c r="L19" s="272">
        <f>MOD!AJ10/1000</f>
        <v>14677.827472413146</v>
      </c>
      <c r="M19" s="272">
        <f>L19*(1+M20)</f>
        <v>16661.142415379607</v>
      </c>
      <c r="N19" s="272">
        <f>M19*(1+N20)</f>
        <v>18829.143497950699</v>
      </c>
      <c r="O19" s="271"/>
    </row>
    <row r="20" spans="1:16" outlineLevel="1" x14ac:dyDescent="0.2">
      <c r="B20" s="119" t="s">
        <v>282</v>
      </c>
      <c r="C20" s="119"/>
      <c r="D20" s="119"/>
      <c r="E20" s="274" t="s">
        <v>132</v>
      </c>
      <c r="F20" s="291">
        <f>F19/E19-1</f>
        <v>7.1292283055415906E-2</v>
      </c>
      <c r="G20" s="291">
        <f t="shared" ref="G20:L20" si="3">G19/F19-1</f>
        <v>0.26107310823017738</v>
      </c>
      <c r="H20" s="291">
        <f t="shared" si="3"/>
        <v>0.14410788517543449</v>
      </c>
      <c r="I20" s="291">
        <f t="shared" si="3"/>
        <v>0.14325962412845361</v>
      </c>
      <c r="J20" s="291">
        <f t="shared" si="3"/>
        <v>0.14259159547836431</v>
      </c>
      <c r="K20" s="291">
        <f t="shared" si="3"/>
        <v>0.14137739521312964</v>
      </c>
      <c r="L20" s="291">
        <f t="shared" si="3"/>
        <v>0.1401231949478956</v>
      </c>
      <c r="M20" s="293">
        <f>L20-0.5%</f>
        <v>0.1351231949478956</v>
      </c>
      <c r="N20" s="293">
        <f>M20-0.5%</f>
        <v>0.13012319494789559</v>
      </c>
    </row>
    <row r="21" spans="1:16" outlineLevel="1" x14ac:dyDescent="0.2"/>
    <row r="22" spans="1:16" outlineLevel="1" x14ac:dyDescent="0.2">
      <c r="B22" t="s">
        <v>278</v>
      </c>
      <c r="E22" s="271">
        <f>MOD!I53/1000</f>
        <v>443.95800000000003</v>
      </c>
      <c r="F22" s="271">
        <f>MOD!N53/1000</f>
        <v>290.16399999999999</v>
      </c>
      <c r="G22" s="271">
        <f>MOD!S53/1000</f>
        <v>804.94299999999998</v>
      </c>
      <c r="H22" s="271">
        <f>MOD!X53/1000</f>
        <v>1160.403</v>
      </c>
      <c r="I22" s="271">
        <f>MOD!AC53/1000</f>
        <v>1557.8130000000001</v>
      </c>
      <c r="J22" s="272">
        <f>MOD!AH53/1000</f>
        <v>1821.6010037173521</v>
      </c>
      <c r="K22" s="272">
        <f>MOD!AI53/1000</f>
        <v>2389.4481635412276</v>
      </c>
      <c r="L22" s="272">
        <f>MOD!AJ53/1000</f>
        <v>2987.2092990303572</v>
      </c>
      <c r="M22" s="272">
        <f>M19*M23</f>
        <v>3390.8505634934031</v>
      </c>
      <c r="N22" s="272">
        <f t="shared" ref="N22" si="4">N19*N23</f>
        <v>3832.0788724060371</v>
      </c>
      <c r="O22" s="271"/>
    </row>
    <row r="23" spans="1:16" outlineLevel="1" x14ac:dyDescent="0.2">
      <c r="B23" s="119" t="s">
        <v>283</v>
      </c>
      <c r="C23" s="119"/>
      <c r="D23" s="119"/>
      <c r="E23" s="290">
        <f>E22/E19</f>
        <v>7.9471656813218036E-2</v>
      </c>
      <c r="F23" s="290">
        <f t="shared" ref="F23:L23" si="5">F22/F19</f>
        <v>4.8484836332514235E-2</v>
      </c>
      <c r="G23" s="290">
        <f t="shared" si="5"/>
        <v>0.10665648521987565</v>
      </c>
      <c r="H23" s="290">
        <f t="shared" si="5"/>
        <v>0.13438908713402695</v>
      </c>
      <c r="I23" s="290">
        <f t="shared" si="5"/>
        <v>0.15780676561737558</v>
      </c>
      <c r="J23" s="290">
        <f t="shared" si="5"/>
        <v>0.16149999999999998</v>
      </c>
      <c r="K23" s="290">
        <f t="shared" si="5"/>
        <v>0.18560412155676581</v>
      </c>
      <c r="L23" s="290">
        <f t="shared" si="5"/>
        <v>0.20351849104677053</v>
      </c>
      <c r="M23" s="290">
        <f>L23</f>
        <v>0.20351849104677053</v>
      </c>
      <c r="N23" s="290">
        <f>M23</f>
        <v>0.20351849104677053</v>
      </c>
      <c r="O23" s="273"/>
      <c r="P23" s="273"/>
    </row>
    <row r="24" spans="1:16" outlineLevel="1" x14ac:dyDescent="0.2">
      <c r="B24" s="119"/>
      <c r="C24" s="119"/>
      <c r="D24" s="119"/>
      <c r="E24" s="290"/>
      <c r="F24" s="290"/>
      <c r="G24" s="290"/>
      <c r="H24" s="290"/>
      <c r="I24" s="290"/>
      <c r="J24" s="290"/>
      <c r="K24" s="290"/>
      <c r="L24" s="290"/>
      <c r="M24" s="290"/>
      <c r="N24" s="290"/>
      <c r="O24" s="273"/>
      <c r="P24" s="273"/>
    </row>
    <row r="25" spans="1:16" outlineLevel="1" x14ac:dyDescent="0.2">
      <c r="B25" t="s">
        <v>125</v>
      </c>
      <c r="E25" s="271">
        <f>E46+E57</f>
        <v>656.73599999999999</v>
      </c>
      <c r="F25" s="271">
        <f t="shared" ref="F25:N25" si="6">F46+F57</f>
        <v>528.69799999999998</v>
      </c>
      <c r="G25" s="271">
        <f t="shared" si="6"/>
        <v>1059.5999999999999</v>
      </c>
      <c r="H25" s="271">
        <f t="shared" si="6"/>
        <v>1447.229</v>
      </c>
      <c r="I25" s="271">
        <f t="shared" si="6"/>
        <v>1877.2070000000001</v>
      </c>
      <c r="J25" s="272">
        <f t="shared" ca="1" si="6"/>
        <v>2195.0018742541665</v>
      </c>
      <c r="K25" s="272">
        <f t="shared" ca="1" si="6"/>
        <v>2815.6394765248515</v>
      </c>
      <c r="L25" s="272">
        <f t="shared" ca="1" si="6"/>
        <v>3473.1199004482851</v>
      </c>
      <c r="M25" s="272">
        <f t="shared" ca="1" si="6"/>
        <v>3942.4189578339751</v>
      </c>
      <c r="N25" s="272">
        <f t="shared" ca="1" si="6"/>
        <v>4455.4191084504855</v>
      </c>
      <c r="O25" s="273"/>
      <c r="P25" s="273"/>
    </row>
    <row r="26" spans="1:16" outlineLevel="1" x14ac:dyDescent="0.2">
      <c r="B26" s="119" t="s">
        <v>283</v>
      </c>
      <c r="C26" s="119"/>
      <c r="D26" s="119"/>
      <c r="E26" s="290">
        <f>E25/E19</f>
        <v>0.11756044042203442</v>
      </c>
      <c r="F26" s="290">
        <f t="shared" ref="F26:N26" si="7">F25/F19</f>
        <v>8.8342578677325964E-2</v>
      </c>
      <c r="G26" s="290">
        <f t="shared" si="7"/>
        <v>0.14039902420293143</v>
      </c>
      <c r="H26" s="290">
        <f t="shared" si="7"/>
        <v>0.16760710217389191</v>
      </c>
      <c r="I26" s="290">
        <f t="shared" si="7"/>
        <v>0.19016144111282726</v>
      </c>
      <c r="J26" s="290">
        <f t="shared" ca="1" si="7"/>
        <v>0.19460507650612413</v>
      </c>
      <c r="K26" s="290">
        <f t="shared" ca="1" si="7"/>
        <v>0.21870919806288994</v>
      </c>
      <c r="L26" s="290">
        <f t="shared" ca="1" si="7"/>
        <v>0.23662356755289465</v>
      </c>
      <c r="M26" s="290">
        <f t="shared" ca="1" si="7"/>
        <v>0.23662356755289468</v>
      </c>
      <c r="N26" s="290">
        <f t="shared" ca="1" si="7"/>
        <v>0.23662356755289471</v>
      </c>
      <c r="O26" s="273"/>
      <c r="P26" s="273"/>
    </row>
    <row r="27" spans="1:16" outlineLevel="1" x14ac:dyDescent="0.2">
      <c r="B27" s="119"/>
      <c r="C27" s="119"/>
      <c r="D27" s="119"/>
      <c r="E27" s="290"/>
      <c r="F27" s="290"/>
      <c r="G27" s="290"/>
      <c r="H27" s="290"/>
      <c r="I27" s="290"/>
      <c r="J27" s="290"/>
      <c r="K27" s="290"/>
      <c r="L27" s="290"/>
      <c r="M27" s="290"/>
      <c r="N27" s="290"/>
      <c r="O27" s="273"/>
      <c r="P27" s="273"/>
    </row>
    <row r="28" spans="1:16" outlineLevel="1" x14ac:dyDescent="0.2">
      <c r="A28" s="139" t="s">
        <v>271</v>
      </c>
      <c r="B28" s="265" t="s">
        <v>284</v>
      </c>
      <c r="C28" s="265"/>
      <c r="D28" s="265"/>
      <c r="E28" s="265">
        <f>E18</f>
        <v>2019</v>
      </c>
      <c r="F28" s="265">
        <f>F18</f>
        <v>2020</v>
      </c>
      <c r="G28" s="265">
        <f>G18</f>
        <v>2021</v>
      </c>
      <c r="H28" s="265">
        <f>H18</f>
        <v>2022</v>
      </c>
      <c r="I28" s="265">
        <f t="shared" ref="I28:N28" si="8">H28+1</f>
        <v>2023</v>
      </c>
      <c r="J28" s="270">
        <f t="shared" si="8"/>
        <v>2024</v>
      </c>
      <c r="K28" s="270">
        <f t="shared" si="8"/>
        <v>2025</v>
      </c>
      <c r="L28" s="270">
        <f t="shared" si="8"/>
        <v>2026</v>
      </c>
      <c r="M28" s="270">
        <f t="shared" si="8"/>
        <v>2027</v>
      </c>
      <c r="N28" s="270">
        <f t="shared" si="8"/>
        <v>2028</v>
      </c>
    </row>
    <row r="29" spans="1:16" s="277" customFormat="1" outlineLevel="1" x14ac:dyDescent="0.2">
      <c r="A29" s="275"/>
      <c r="B29" t="s">
        <v>285</v>
      </c>
      <c r="C29"/>
      <c r="D29" s="276"/>
      <c r="E29" s="271">
        <f>MOD!I31/1000</f>
        <v>212.77799999999999</v>
      </c>
      <c r="F29" s="271">
        <f>MOD!N31/1000</f>
        <v>238.53399999999999</v>
      </c>
      <c r="G29" s="271">
        <f>MOD!S31/1000</f>
        <v>254.65700000000001</v>
      </c>
      <c r="H29" s="271">
        <f>MOD!X31/1000</f>
        <v>286.82600000000002</v>
      </c>
      <c r="I29" s="271">
        <f>MOD!AC31/1000</f>
        <v>319.39400000000001</v>
      </c>
      <c r="J29" s="272"/>
      <c r="K29" s="272"/>
      <c r="L29" s="272"/>
      <c r="M29" s="272"/>
      <c r="N29" s="272"/>
    </row>
    <row r="30" spans="1:16" s="277" customFormat="1" outlineLevel="1" x14ac:dyDescent="0.2">
      <c r="A30" s="275"/>
      <c r="B30" t="s">
        <v>283</v>
      </c>
      <c r="C30"/>
      <c r="D30" s="276"/>
      <c r="E30" s="291">
        <f>E29/E19</f>
        <v>3.8088783608816387E-2</v>
      </c>
      <c r="F30" s="291">
        <f>F29/F19</f>
        <v>3.9857742344811729E-2</v>
      </c>
      <c r="G30" s="291">
        <f>G29/G19</f>
        <v>3.3742538983055792E-2</v>
      </c>
      <c r="H30" s="291">
        <f>H29/H19</f>
        <v>3.3218015039864955E-2</v>
      </c>
      <c r="I30" s="291">
        <f>I29/I19</f>
        <v>3.2354675495451672E-2</v>
      </c>
      <c r="J30" s="278"/>
      <c r="K30" s="278"/>
      <c r="L30" s="278"/>
      <c r="M30" s="278"/>
      <c r="N30" s="278"/>
    </row>
    <row r="31" spans="1:16" s="277" customFormat="1" outlineLevel="1" x14ac:dyDescent="0.2">
      <c r="A31" s="275"/>
      <c r="B31"/>
      <c r="C31"/>
      <c r="D31" s="276"/>
      <c r="E31" s="276"/>
      <c r="F31" s="276"/>
      <c r="G31" s="276"/>
      <c r="H31" s="276"/>
      <c r="I31" s="276"/>
      <c r="J31" s="276"/>
      <c r="K31" s="276"/>
      <c r="L31" s="276"/>
      <c r="M31" s="276"/>
      <c r="N31" s="276"/>
    </row>
    <row r="32" spans="1:16" s="277" customFormat="1" outlineLevel="1" x14ac:dyDescent="0.2">
      <c r="A32" s="275"/>
      <c r="B32" t="s">
        <v>286</v>
      </c>
      <c r="C32"/>
      <c r="D32" s="276"/>
      <c r="E32" s="271">
        <f>-MOD!I144/1000</f>
        <v>333.91199999999998</v>
      </c>
      <c r="F32" s="271">
        <f>-MOD!N144/1000</f>
        <v>373.35199999999998</v>
      </c>
      <c r="G32" s="271">
        <f>-MOD!S144/1000</f>
        <v>442.47500000000002</v>
      </c>
      <c r="H32" s="271">
        <f>-MOD!X144/1000</f>
        <v>479.16399999999999</v>
      </c>
      <c r="I32" s="271">
        <f>-MOD!AC144/1000</f>
        <v>560.73099999999999</v>
      </c>
      <c r="J32" s="272">
        <f>-MOD!AH144/1000</f>
        <v>658.90730098045219</v>
      </c>
      <c r="K32" s="272">
        <f>-MOD!AI144/1000</f>
        <v>777.13286661427674</v>
      </c>
      <c r="L32" s="272">
        <f>-MOD!AJ144/1000</f>
        <v>919.94434786811701</v>
      </c>
      <c r="M32" s="272"/>
      <c r="N32" s="272"/>
    </row>
    <row r="33" spans="1:14" s="277" customFormat="1" outlineLevel="1" x14ac:dyDescent="0.2">
      <c r="A33" s="275"/>
      <c r="B33" s="119" t="s">
        <v>283</v>
      </c>
      <c r="C33" s="119"/>
      <c r="D33" s="276"/>
      <c r="E33" s="296">
        <f t="shared" ref="E33:L33" si="9">E32/E19</f>
        <v>5.9772635857029854E-2</v>
      </c>
      <c r="F33" s="296">
        <f t="shared" si="9"/>
        <v>6.2385101578475807E-2</v>
      </c>
      <c r="G33" s="296">
        <f t="shared" si="9"/>
        <v>5.8628782780475744E-2</v>
      </c>
      <c r="H33" s="296">
        <f t="shared" si="9"/>
        <v>5.5493145525725873E-2</v>
      </c>
      <c r="I33" s="296">
        <f t="shared" si="9"/>
        <v>5.6802161422068391E-2</v>
      </c>
      <c r="J33" s="296">
        <f t="shared" si="9"/>
        <v>5.8417583703118454E-2</v>
      </c>
      <c r="K33" s="296">
        <f t="shared" si="9"/>
        <v>6.0365010315631976E-2</v>
      </c>
      <c r="L33" s="296">
        <f t="shared" si="9"/>
        <v>6.2675784246486385E-2</v>
      </c>
      <c r="M33" s="276"/>
      <c r="N33" s="276"/>
    </row>
    <row r="34" spans="1:14" s="277" customFormat="1" outlineLevel="1" x14ac:dyDescent="0.2">
      <c r="A34" s="275"/>
      <c r="B34"/>
      <c r="C34"/>
      <c r="D34" s="276"/>
      <c r="E34" s="276"/>
      <c r="F34" s="276"/>
      <c r="G34" s="276"/>
      <c r="H34" s="276"/>
      <c r="I34" s="276"/>
      <c r="J34" s="276"/>
      <c r="K34" s="276"/>
      <c r="L34" s="276"/>
      <c r="M34" s="276"/>
      <c r="N34" s="276"/>
    </row>
    <row r="35" spans="1:14" s="277" customFormat="1" outlineLevel="1" x14ac:dyDescent="0.2">
      <c r="A35" s="275"/>
      <c r="B35" t="s">
        <v>287</v>
      </c>
      <c r="C35"/>
      <c r="D35" s="276"/>
      <c r="E35" s="271">
        <f>-MOD!I141/1000</f>
        <v>-15.42</v>
      </c>
      <c r="F35" s="271">
        <f>-MOD!N141/1000</f>
        <v>148.69900000000001</v>
      </c>
      <c r="G35" s="271">
        <f>-MOD!S141/1000</f>
        <v>-180.74299999999999</v>
      </c>
      <c r="H35" s="271">
        <f>-MOD!X141/1000</f>
        <v>-48.046999999999997</v>
      </c>
      <c r="I35" s="271">
        <f>-MOD!AC141/1000</f>
        <v>-41.920999999999999</v>
      </c>
      <c r="J35" s="272">
        <f>-MOD!AH141/1000</f>
        <v>-90.907340302135552</v>
      </c>
      <c r="K35" s="272">
        <f>-MOD!AI141/1000</f>
        <v>-102.98548634697865</v>
      </c>
      <c r="L35" s="272">
        <f>-MOD!AJ141/1000</f>
        <v>-116.5025273258332</v>
      </c>
      <c r="M35" s="276"/>
      <c r="N35" s="276"/>
    </row>
    <row r="36" spans="1:14" s="277" customFormat="1" outlineLevel="1" x14ac:dyDescent="0.2">
      <c r="A36" s="275"/>
      <c r="B36" s="119" t="s">
        <v>283</v>
      </c>
      <c r="C36" s="119"/>
      <c r="D36" s="276"/>
      <c r="E36" s="291">
        <f t="shared" ref="E36:L36" si="10">E35/E19</f>
        <v>-2.7602902708360297E-3</v>
      </c>
      <c r="F36" s="291">
        <f t="shared" si="10"/>
        <v>2.4846799319724482E-2</v>
      </c>
      <c r="G36" s="291">
        <f t="shared" si="10"/>
        <v>-2.3948792781719932E-2</v>
      </c>
      <c r="H36" s="291">
        <f t="shared" si="10"/>
        <v>-5.5644396554719285E-3</v>
      </c>
      <c r="I36" s="291">
        <f t="shared" si="10"/>
        <v>-4.24660560763455E-3</v>
      </c>
      <c r="J36" s="291">
        <f t="shared" si="10"/>
        <v>-8.059687839891496E-3</v>
      </c>
      <c r="K36" s="291">
        <f t="shared" si="10"/>
        <v>-7.9995586504789506E-3</v>
      </c>
      <c r="L36" s="291">
        <f t="shared" si="10"/>
        <v>-7.9373141253226143E-3</v>
      </c>
      <c r="M36" s="276"/>
      <c r="N36" s="276"/>
    </row>
    <row r="37" spans="1:14" outlineLevel="1" x14ac:dyDescent="0.2">
      <c r="B37" s="119" t="s">
        <v>267</v>
      </c>
      <c r="C37" s="119"/>
      <c r="E37" s="273"/>
      <c r="F37" s="273"/>
      <c r="G37" s="273"/>
      <c r="H37" s="273"/>
    </row>
    <row r="38" spans="1:14" outlineLevel="1" x14ac:dyDescent="0.2">
      <c r="J38">
        <v>1</v>
      </c>
      <c r="K38">
        <f t="shared" ref="K38:N38" si="11">J38+1</f>
        <v>2</v>
      </c>
      <c r="L38">
        <f t="shared" si="11"/>
        <v>3</v>
      </c>
      <c r="M38">
        <f t="shared" si="11"/>
        <v>4</v>
      </c>
      <c r="N38">
        <f t="shared" si="11"/>
        <v>5</v>
      </c>
    </row>
    <row r="39" spans="1:14" x14ac:dyDescent="0.2">
      <c r="A39" s="139" t="s">
        <v>271</v>
      </c>
      <c r="B39" s="265" t="s">
        <v>288</v>
      </c>
      <c r="C39" s="265"/>
      <c r="D39" s="265"/>
      <c r="E39" s="292">
        <f t="shared" ref="E39:N39" si="12">E18</f>
        <v>2019</v>
      </c>
      <c r="F39" s="292">
        <f t="shared" si="12"/>
        <v>2020</v>
      </c>
      <c r="G39" s="292">
        <f t="shared" si="12"/>
        <v>2021</v>
      </c>
      <c r="H39" s="292">
        <f t="shared" si="12"/>
        <v>2022</v>
      </c>
      <c r="I39" s="292">
        <f t="shared" si="12"/>
        <v>2023</v>
      </c>
      <c r="J39" s="270">
        <f t="shared" si="12"/>
        <v>2024</v>
      </c>
      <c r="K39" s="270">
        <f t="shared" si="12"/>
        <v>2025</v>
      </c>
      <c r="L39" s="270">
        <f t="shared" si="12"/>
        <v>2026</v>
      </c>
      <c r="M39" s="270">
        <f t="shared" si="12"/>
        <v>2027</v>
      </c>
      <c r="N39" s="270">
        <f t="shared" si="12"/>
        <v>2028</v>
      </c>
    </row>
    <row r="40" spans="1:14" x14ac:dyDescent="0.2">
      <c r="B40" t="s">
        <v>126</v>
      </c>
      <c r="E40" s="279">
        <f>E19</f>
        <v>5586.3689999999997</v>
      </c>
      <c r="F40" s="279">
        <f>F19</f>
        <v>5984.634</v>
      </c>
      <c r="G40" s="279">
        <f>G19</f>
        <v>7547.0609999999997</v>
      </c>
      <c r="H40" s="279">
        <f>H19</f>
        <v>8634.652</v>
      </c>
      <c r="I40" s="279">
        <f>I19</f>
        <v>9871.6489999999994</v>
      </c>
      <c r="J40" s="280">
        <f ca="1">I40*(1+J41)</f>
        <v>11279.2631809124</v>
      </c>
      <c r="K40" s="280">
        <f t="shared" ref="K40:N40" ca="1" si="13">J40*(1+K41)</f>
        <v>12873.896029353155</v>
      </c>
      <c r="L40" s="280">
        <f t="shared" ca="1" si="13"/>
        <v>14677.827472413146</v>
      </c>
      <c r="M40" s="280">
        <f t="shared" ca="1" si="13"/>
        <v>16661.142415379607</v>
      </c>
      <c r="N40" s="280">
        <f t="shared" ca="1" si="13"/>
        <v>18829.143497950699</v>
      </c>
    </row>
    <row r="41" spans="1:14" x14ac:dyDescent="0.2">
      <c r="B41" s="119" t="s">
        <v>282</v>
      </c>
      <c r="C41" s="119"/>
      <c r="E41" s="274" t="s">
        <v>132</v>
      </c>
      <c r="F41" s="291">
        <f>F40/E40-1</f>
        <v>7.1292283055415906E-2</v>
      </c>
      <c r="G41" s="291">
        <f t="shared" ref="G41:I41" si="14">G40/F40-1</f>
        <v>0.26107310823017738</v>
      </c>
      <c r="H41" s="291">
        <f t="shared" si="14"/>
        <v>0.14410788517543449</v>
      </c>
      <c r="I41" s="291">
        <f t="shared" si="14"/>
        <v>0.14325962412845361</v>
      </c>
      <c r="J41" s="297">
        <f ca="1">OFFSET(J41,$E$10,0)</f>
        <v>0.14259159547836431</v>
      </c>
      <c r="K41" s="297">
        <f ca="1">OFFSET(K41,$E$10,0)</f>
        <v>0.14137739521312964</v>
      </c>
      <c r="L41" s="297">
        <f ca="1">OFFSET(L41,$E$10,0)</f>
        <v>0.1401231949478956</v>
      </c>
      <c r="M41" s="297">
        <f ca="1">OFFSET(M41,$E$10,0)</f>
        <v>0.1351231949478956</v>
      </c>
      <c r="N41" s="297">
        <f t="shared" ref="N41" ca="1" si="15">OFFSET(N41,$E$10,0)</f>
        <v>0.13012319494789559</v>
      </c>
    </row>
    <row r="42" spans="1:14" x14ac:dyDescent="0.2">
      <c r="B42" t="s">
        <v>289</v>
      </c>
      <c r="I42" s="280"/>
      <c r="J42" s="298">
        <f>I10</f>
        <v>0.14299999999999999</v>
      </c>
      <c r="K42" s="298">
        <f>J42-($J42-$N42)/($N$39-$J$39)</f>
        <v>0.13474999999999998</v>
      </c>
      <c r="L42" s="298">
        <f t="shared" ref="L42:M44" si="16">K42-($J42-$N42)/($N$39-$J$39)</f>
        <v>0.12649999999999997</v>
      </c>
      <c r="M42" s="298">
        <f t="shared" si="16"/>
        <v>0.11824999999999998</v>
      </c>
      <c r="N42" s="298">
        <f>I11</f>
        <v>0.11</v>
      </c>
    </row>
    <row r="43" spans="1:14" x14ac:dyDescent="0.2">
      <c r="B43" t="s">
        <v>290</v>
      </c>
      <c r="I43" s="280"/>
      <c r="J43" s="298">
        <f>J20</f>
        <v>0.14259159547836431</v>
      </c>
      <c r="K43" s="298">
        <f>K20</f>
        <v>0.14137739521312964</v>
      </c>
      <c r="L43" s="298">
        <f>L20</f>
        <v>0.1401231949478956</v>
      </c>
      <c r="M43" s="298">
        <f>M20</f>
        <v>0.1351231949478956</v>
      </c>
      <c r="N43" s="298">
        <f>N20</f>
        <v>0.13012319494789559</v>
      </c>
    </row>
    <row r="44" spans="1:14" x14ac:dyDescent="0.2">
      <c r="B44" t="s">
        <v>291</v>
      </c>
      <c r="I44" s="280"/>
      <c r="J44" s="298">
        <f>Q10</f>
        <v>0.15</v>
      </c>
      <c r="K44" s="298">
        <f>J44-($J44-$N44)/($N$39-$J$39)</f>
        <v>0.14749999999999999</v>
      </c>
      <c r="L44" s="298">
        <f t="shared" si="16"/>
        <v>0.14499999999999999</v>
      </c>
      <c r="M44" s="298">
        <f t="shared" si="16"/>
        <v>0.14249999999999999</v>
      </c>
      <c r="N44" s="298">
        <f>Q11</f>
        <v>0.14000000000000001</v>
      </c>
    </row>
    <row r="45" spans="1:14" x14ac:dyDescent="0.2">
      <c r="J45" s="277"/>
      <c r="K45" s="277"/>
      <c r="L45" s="277"/>
      <c r="M45" s="277"/>
      <c r="N45" s="277"/>
    </row>
    <row r="46" spans="1:14" x14ac:dyDescent="0.2">
      <c r="B46" t="s">
        <v>278</v>
      </c>
      <c r="E46" s="281">
        <f>E22</f>
        <v>443.95800000000003</v>
      </c>
      <c r="F46" s="281">
        <f>F22</f>
        <v>290.16399999999999</v>
      </c>
      <c r="G46" s="281">
        <f>G22</f>
        <v>804.94299999999998</v>
      </c>
      <c r="H46" s="281">
        <f>H22</f>
        <v>1160.403</v>
      </c>
      <c r="I46" s="281">
        <f>I22</f>
        <v>1557.8130000000001</v>
      </c>
      <c r="J46" s="280">
        <f ca="1">J47*J40</f>
        <v>1821.6010037173523</v>
      </c>
      <c r="K46" s="280">
        <f t="shared" ref="K46:N46" ca="1" si="17">K47*K40</f>
        <v>2389.4481635412276</v>
      </c>
      <c r="L46" s="280">
        <f t="shared" ca="1" si="17"/>
        <v>2987.2092990303572</v>
      </c>
      <c r="M46" s="280">
        <f t="shared" ca="1" si="17"/>
        <v>3390.8505634934031</v>
      </c>
      <c r="N46" s="280">
        <f t="shared" ca="1" si="17"/>
        <v>3832.0788724060371</v>
      </c>
    </row>
    <row r="47" spans="1:14" x14ac:dyDescent="0.2">
      <c r="B47" s="119" t="s">
        <v>283</v>
      </c>
      <c r="C47" s="119"/>
      <c r="E47" s="291">
        <f>E46/E40</f>
        <v>7.9471656813218036E-2</v>
      </c>
      <c r="F47" s="291">
        <f t="shared" ref="F47:I47" si="18">F46/F40</f>
        <v>4.8484836332514235E-2</v>
      </c>
      <c r="G47" s="291">
        <f t="shared" si="18"/>
        <v>0.10665648521987565</v>
      </c>
      <c r="H47" s="291">
        <f t="shared" si="18"/>
        <v>0.13438908713402695</v>
      </c>
      <c r="I47" s="291">
        <f t="shared" si="18"/>
        <v>0.15780676561737558</v>
      </c>
      <c r="J47" s="297">
        <f ca="1">OFFSET(J47,$E$11,0)</f>
        <v>0.16149999999999998</v>
      </c>
      <c r="K47" s="297">
        <f t="shared" ref="K47:N47" ca="1" si="19">OFFSET(K47,$E$11,0)</f>
        <v>0.18560412155676581</v>
      </c>
      <c r="L47" s="297">
        <f t="shared" ca="1" si="19"/>
        <v>0.20351849104677053</v>
      </c>
      <c r="M47" s="297">
        <f t="shared" ca="1" si="19"/>
        <v>0.20351849104677053</v>
      </c>
      <c r="N47" s="297">
        <f t="shared" ca="1" si="19"/>
        <v>0.20351849104677053</v>
      </c>
    </row>
    <row r="48" spans="1:14" x14ac:dyDescent="0.2">
      <c r="B48" t="s">
        <v>289</v>
      </c>
      <c r="C48" s="119"/>
      <c r="E48" s="199"/>
      <c r="F48" s="199"/>
      <c r="G48" s="199"/>
      <c r="H48" s="199"/>
      <c r="I48" s="300"/>
      <c r="J48" s="298">
        <f>I12</f>
        <v>0.16149999999999998</v>
      </c>
      <c r="K48" s="298">
        <f>J48-($J48-$N48)/($N$39-$J$39)</f>
        <v>0.15950462276169261</v>
      </c>
      <c r="L48" s="298">
        <f t="shared" ref="L48:M48" si="20">K48-($J48-$N48)/($N$39-$J$39)</f>
        <v>0.15750924552338524</v>
      </c>
      <c r="M48" s="298">
        <f t="shared" si="20"/>
        <v>0.15551386828507788</v>
      </c>
      <c r="N48" s="298">
        <f>I13</f>
        <v>0.15351849104677051</v>
      </c>
    </row>
    <row r="49" spans="2:14" x14ac:dyDescent="0.2">
      <c r="B49" t="s">
        <v>290</v>
      </c>
      <c r="C49" s="119"/>
      <c r="E49" s="199"/>
      <c r="F49" s="199"/>
      <c r="G49" s="199"/>
      <c r="H49" s="199"/>
      <c r="I49" s="300"/>
      <c r="J49" s="298">
        <f>J23</f>
        <v>0.16149999999999998</v>
      </c>
      <c r="K49" s="298">
        <f>K23</f>
        <v>0.18560412155676581</v>
      </c>
      <c r="L49" s="298">
        <f>L23</f>
        <v>0.20351849104677053</v>
      </c>
      <c r="M49" s="298">
        <f>M23</f>
        <v>0.20351849104677053</v>
      </c>
      <c r="N49" s="298">
        <f>N23</f>
        <v>0.20351849104677053</v>
      </c>
    </row>
    <row r="50" spans="2:14" x14ac:dyDescent="0.2">
      <c r="B50" t="s">
        <v>291</v>
      </c>
      <c r="C50" s="119"/>
      <c r="E50" s="199"/>
      <c r="F50" s="199"/>
      <c r="G50" s="199"/>
      <c r="H50" s="199"/>
      <c r="I50" s="300"/>
      <c r="J50" s="298">
        <f>Q12</f>
        <v>0.16149999999999998</v>
      </c>
      <c r="K50" s="298">
        <f>J50-($J50-$N50)/($N$39-$J$39)</f>
        <v>0.1845046227616926</v>
      </c>
      <c r="L50" s="298">
        <f t="shared" ref="L50:M50" si="21">K50-($J50-$N50)/($N$39-$J$39)</f>
        <v>0.20750924552338523</v>
      </c>
      <c r="M50" s="298">
        <f t="shared" si="21"/>
        <v>0.23051386828507786</v>
      </c>
      <c r="N50" s="298">
        <f>Q13</f>
        <v>0.25351849104677054</v>
      </c>
    </row>
    <row r="51" spans="2:14" x14ac:dyDescent="0.2">
      <c r="J51" s="277"/>
      <c r="K51" s="277"/>
      <c r="L51" s="277"/>
      <c r="M51" s="277"/>
      <c r="N51" s="277"/>
    </row>
    <row r="52" spans="2:14" x14ac:dyDescent="0.2">
      <c r="B52" t="s">
        <v>261</v>
      </c>
      <c r="E52" s="281">
        <f>MOD!I64/1000</f>
        <v>-108.127</v>
      </c>
      <c r="F52" s="281">
        <f>MOD!N64/1000</f>
        <v>61.984999999999999</v>
      </c>
      <c r="G52" s="281">
        <f>MOD!S64/1000</f>
        <v>-159.779</v>
      </c>
      <c r="H52" s="281">
        <f>MOD!X64/1000</f>
        <v>-282.43</v>
      </c>
      <c r="I52" s="281">
        <f>MOD!AC64/1000</f>
        <v>-391.76900000000001</v>
      </c>
      <c r="J52" s="309">
        <f ca="1">J53*J46</f>
        <v>-409.86022583640431</v>
      </c>
      <c r="K52" s="309">
        <f t="shared" ref="K52:N52" ca="1" si="22">K53*K46</f>
        <v>-537.62583679677618</v>
      </c>
      <c r="L52" s="309">
        <f t="shared" ca="1" si="22"/>
        <v>-672.12209228183042</v>
      </c>
      <c r="M52" s="309">
        <f t="shared" ca="1" si="22"/>
        <v>-762.94137678601567</v>
      </c>
      <c r="N52" s="309">
        <f t="shared" ca="1" si="22"/>
        <v>-862.21774629135837</v>
      </c>
    </row>
    <row r="53" spans="2:14" x14ac:dyDescent="0.2">
      <c r="B53" s="119" t="s">
        <v>292</v>
      </c>
      <c r="C53" s="119"/>
      <c r="E53" s="211">
        <f>E52/E46</f>
        <v>-0.24355231801206417</v>
      </c>
      <c r="F53" s="211">
        <f t="shared" ref="F53:I53" si="23">F52/F46</f>
        <v>0.2136205731930908</v>
      </c>
      <c r="G53" s="211">
        <f t="shared" si="23"/>
        <v>-0.19849728490091845</v>
      </c>
      <c r="H53" s="211">
        <f t="shared" si="23"/>
        <v>-0.24338958103348579</v>
      </c>
      <c r="I53" s="211">
        <f t="shared" si="23"/>
        <v>-0.25148653914173263</v>
      </c>
      <c r="J53" s="298">
        <v>-0.22500000000000001</v>
      </c>
      <c r="K53" s="298">
        <f>J53</f>
        <v>-0.22500000000000001</v>
      </c>
      <c r="L53" s="298">
        <f t="shared" ref="L53:N53" si="24">K53</f>
        <v>-0.22500000000000001</v>
      </c>
      <c r="M53" s="298">
        <f t="shared" si="24"/>
        <v>-0.22500000000000001</v>
      </c>
      <c r="N53" s="298">
        <f t="shared" si="24"/>
        <v>-0.22500000000000001</v>
      </c>
    </row>
    <row r="54" spans="2:14" x14ac:dyDescent="0.2">
      <c r="I54" s="280"/>
      <c r="J54" s="277"/>
      <c r="K54" s="277"/>
      <c r="L54" s="277"/>
      <c r="M54" s="277"/>
      <c r="N54" s="277"/>
    </row>
    <row r="55" spans="2:14" x14ac:dyDescent="0.2">
      <c r="B55" s="282" t="s">
        <v>304</v>
      </c>
      <c r="C55" s="125"/>
      <c r="D55" s="125"/>
      <c r="E55" s="125"/>
      <c r="F55" s="125"/>
      <c r="G55" s="125"/>
      <c r="H55" s="125"/>
      <c r="I55" s="283"/>
      <c r="J55" s="283">
        <f ca="1">J46-J52</f>
        <v>2231.4612295537568</v>
      </c>
      <c r="K55" s="283">
        <f t="shared" ref="K55:N55" ca="1" si="25">K46-K52</f>
        <v>2927.0740003380038</v>
      </c>
      <c r="L55" s="283">
        <f t="shared" ca="1" si="25"/>
        <v>3659.3313913121874</v>
      </c>
      <c r="M55" s="283">
        <f t="shared" ca="1" si="25"/>
        <v>4153.7919402794187</v>
      </c>
      <c r="N55" s="310">
        <f t="shared" ca="1" si="25"/>
        <v>4694.2966186973954</v>
      </c>
    </row>
    <row r="56" spans="2:14" x14ac:dyDescent="0.2">
      <c r="J56" s="277"/>
      <c r="K56" s="277"/>
      <c r="L56" s="277"/>
      <c r="M56" s="277"/>
      <c r="N56" s="277"/>
    </row>
    <row r="57" spans="2:14" x14ac:dyDescent="0.2">
      <c r="B57" t="s">
        <v>285</v>
      </c>
      <c r="E57" s="279">
        <f>E29</f>
        <v>212.77799999999999</v>
      </c>
      <c r="F57" s="279">
        <f t="shared" ref="F57:I57" si="26">F29</f>
        <v>238.53399999999999</v>
      </c>
      <c r="G57" s="279">
        <f t="shared" si="26"/>
        <v>254.65700000000001</v>
      </c>
      <c r="H57" s="279">
        <f t="shared" si="26"/>
        <v>286.82600000000002</v>
      </c>
      <c r="I57" s="279">
        <f t="shared" si="26"/>
        <v>319.39400000000001</v>
      </c>
      <c r="J57" s="280">
        <f ca="1">J58*J40</f>
        <v>373.40087053681418</v>
      </c>
      <c r="K57" s="280">
        <f t="shared" ref="K57:N57" ca="1" si="27">K58*K40</f>
        <v>426.19131298362407</v>
      </c>
      <c r="L57" s="280">
        <f t="shared" ca="1" si="27"/>
        <v>485.91060141792804</v>
      </c>
      <c r="M57" s="280">
        <f t="shared" ca="1" si="27"/>
        <v>551.5683943405719</v>
      </c>
      <c r="N57" s="280">
        <f t="shared" ca="1" si="27"/>
        <v>623.34023604444792</v>
      </c>
    </row>
    <row r="58" spans="2:14" x14ac:dyDescent="0.2">
      <c r="B58" t="s">
        <v>283</v>
      </c>
      <c r="E58" s="291">
        <f>E57/E40</f>
        <v>3.8088783608816387E-2</v>
      </c>
      <c r="F58" s="291">
        <f t="shared" ref="F58:I58" si="28">F57/F40</f>
        <v>3.9857742344811729E-2</v>
      </c>
      <c r="G58" s="291">
        <f t="shared" si="28"/>
        <v>3.3742538983055792E-2</v>
      </c>
      <c r="H58" s="291">
        <f t="shared" si="28"/>
        <v>3.3218015039864955E-2</v>
      </c>
      <c r="I58" s="291">
        <f t="shared" si="28"/>
        <v>3.2354675495451672E-2</v>
      </c>
      <c r="J58" s="298">
        <f>AVERAGE(G58:I58)</f>
        <v>3.3105076506124147E-2</v>
      </c>
      <c r="K58" s="298">
        <f>J58</f>
        <v>3.3105076506124147E-2</v>
      </c>
      <c r="L58" s="298">
        <f t="shared" ref="L58:N58" si="29">K58</f>
        <v>3.3105076506124147E-2</v>
      </c>
      <c r="M58" s="298">
        <f t="shared" si="29"/>
        <v>3.3105076506124147E-2</v>
      </c>
      <c r="N58" s="298">
        <f t="shared" si="29"/>
        <v>3.3105076506124147E-2</v>
      </c>
    </row>
    <row r="59" spans="2:14" x14ac:dyDescent="0.2">
      <c r="J59" s="277"/>
      <c r="K59" s="277"/>
      <c r="L59" s="277"/>
      <c r="M59" s="277"/>
      <c r="N59" s="277"/>
    </row>
    <row r="60" spans="2:14" x14ac:dyDescent="0.2">
      <c r="B60" t="s">
        <v>286</v>
      </c>
      <c r="E60" s="279">
        <f t="shared" ref="E60:I60" si="30">E32</f>
        <v>333.91199999999998</v>
      </c>
      <c r="F60" s="279">
        <f t="shared" si="30"/>
        <v>373.35199999999998</v>
      </c>
      <c r="G60" s="279">
        <f t="shared" si="30"/>
        <v>442.47500000000002</v>
      </c>
      <c r="H60" s="279">
        <f t="shared" si="30"/>
        <v>479.16399999999999</v>
      </c>
      <c r="I60" s="279">
        <f t="shared" si="30"/>
        <v>560.73099999999999</v>
      </c>
      <c r="J60" s="280">
        <f ca="1">J61*J40</f>
        <v>658.90730098045219</v>
      </c>
      <c r="K60" s="280">
        <f t="shared" ref="K60:N60" ca="1" si="31">K61*K40</f>
        <v>777.13286661427674</v>
      </c>
      <c r="L60" s="280">
        <f t="shared" ca="1" si="31"/>
        <v>919.94434786811689</v>
      </c>
      <c r="M60" s="280">
        <f t="shared" ca="1" si="31"/>
        <v>1082.9742569996745</v>
      </c>
      <c r="N60" s="280">
        <f t="shared" ca="1" si="31"/>
        <v>1280.3817578606477</v>
      </c>
    </row>
    <row r="61" spans="2:14" x14ac:dyDescent="0.2">
      <c r="B61" s="119" t="s">
        <v>283</v>
      </c>
      <c r="C61" s="119"/>
      <c r="E61" s="291">
        <f>E60/E40</f>
        <v>5.9772635857029854E-2</v>
      </c>
      <c r="F61" s="291">
        <f t="shared" ref="F61:I61" si="32">F60/F40</f>
        <v>6.2385101578475807E-2</v>
      </c>
      <c r="G61" s="291">
        <f t="shared" si="32"/>
        <v>5.8628782780475744E-2</v>
      </c>
      <c r="H61" s="291">
        <f t="shared" si="32"/>
        <v>5.5493145525725873E-2</v>
      </c>
      <c r="I61" s="291">
        <f t="shared" si="32"/>
        <v>5.6802161422068391E-2</v>
      </c>
      <c r="J61" s="298">
        <f>J33</f>
        <v>5.8417583703118454E-2</v>
      </c>
      <c r="K61" s="298">
        <f t="shared" ref="K61" si="33">K33</f>
        <v>6.0365010315631976E-2</v>
      </c>
      <c r="L61" s="298">
        <f>L33</f>
        <v>6.2675784246486385E-2</v>
      </c>
      <c r="M61" s="298">
        <f>6.5%</f>
        <v>6.5000000000000002E-2</v>
      </c>
      <c r="N61" s="298">
        <v>6.8000000000000005E-2</v>
      </c>
    </row>
    <row r="62" spans="2:14" x14ac:dyDescent="0.2">
      <c r="J62" s="277"/>
      <c r="K62" s="277"/>
      <c r="L62" s="277"/>
      <c r="M62" s="277"/>
      <c r="N62" s="277"/>
    </row>
    <row r="63" spans="2:14" x14ac:dyDescent="0.2">
      <c r="B63" t="s">
        <v>287</v>
      </c>
      <c r="E63" s="279">
        <f t="shared" ref="E63:I63" si="34">E35</f>
        <v>-15.42</v>
      </c>
      <c r="F63" s="279">
        <f t="shared" si="34"/>
        <v>148.69900000000001</v>
      </c>
      <c r="G63" s="279">
        <f t="shared" si="34"/>
        <v>-180.74299999999999</v>
      </c>
      <c r="H63" s="279">
        <f t="shared" si="34"/>
        <v>-48.046999999999997</v>
      </c>
      <c r="I63" s="279">
        <f t="shared" si="34"/>
        <v>-41.920999999999999</v>
      </c>
      <c r="J63" s="280">
        <f ca="1">J64*J40</f>
        <v>-90.907340302135538</v>
      </c>
      <c r="K63" s="280">
        <f t="shared" ref="K63:N63" ca="1" si="35">K64*K40</f>
        <v>-102.98548634697865</v>
      </c>
      <c r="L63" s="280">
        <f t="shared" ca="1" si="35"/>
        <v>-116.50252732583319</v>
      </c>
      <c r="M63" s="280">
        <f t="shared" ca="1" si="35"/>
        <v>-132.24472103760431</v>
      </c>
      <c r="N63" s="280">
        <f t="shared" ca="1" si="35"/>
        <v>-149.45282665401055</v>
      </c>
    </row>
    <row r="64" spans="2:14" x14ac:dyDescent="0.2">
      <c r="B64" s="119" t="s">
        <v>283</v>
      </c>
      <c r="C64" s="119"/>
      <c r="E64" s="291">
        <f>E63/E40</f>
        <v>-2.7602902708360297E-3</v>
      </c>
      <c r="F64" s="291">
        <f t="shared" ref="F64:I64" si="36">F63/F40</f>
        <v>2.4846799319724482E-2</v>
      </c>
      <c r="G64" s="291">
        <f t="shared" si="36"/>
        <v>-2.3948792781719932E-2</v>
      </c>
      <c r="H64" s="291">
        <f t="shared" si="36"/>
        <v>-5.5644396554719285E-3</v>
      </c>
      <c r="I64" s="291">
        <f t="shared" si="36"/>
        <v>-4.24660560763455E-3</v>
      </c>
      <c r="J64" s="298">
        <f>J36</f>
        <v>-8.059687839891496E-3</v>
      </c>
      <c r="K64" s="298">
        <f>K36</f>
        <v>-7.9995586504789506E-3</v>
      </c>
      <c r="L64" s="298">
        <f>L36</f>
        <v>-7.9373141253226143E-3</v>
      </c>
      <c r="M64" s="298">
        <f>L64</f>
        <v>-7.9373141253226143E-3</v>
      </c>
      <c r="N64" s="298">
        <f>M64</f>
        <v>-7.9373141253226143E-3</v>
      </c>
    </row>
    <row r="66" spans="1:19" x14ac:dyDescent="0.2">
      <c r="B66" s="2" t="s">
        <v>293</v>
      </c>
      <c r="C66" s="3"/>
      <c r="D66" s="3"/>
      <c r="E66" s="3"/>
      <c r="F66" s="3"/>
      <c r="G66" s="3"/>
      <c r="H66" s="3"/>
      <c r="I66" s="284"/>
      <c r="J66" s="284">
        <f ca="1">J55+J57-J60-J63</f>
        <v>2036.8621394122542</v>
      </c>
      <c r="K66" s="284">
        <f t="shared" ref="K66:N66" ca="1" si="37">K55+K57-K60-K63</f>
        <v>2679.1179330543296</v>
      </c>
      <c r="L66" s="284">
        <f t="shared" ca="1" si="37"/>
        <v>3341.8001721878318</v>
      </c>
      <c r="M66" s="284">
        <f t="shared" ca="1" si="37"/>
        <v>3754.6307986579209</v>
      </c>
      <c r="N66" s="284">
        <f t="shared" ca="1" si="37"/>
        <v>4186.7079235352066</v>
      </c>
    </row>
    <row r="67" spans="1:19" x14ac:dyDescent="0.2">
      <c r="B67" s="7" t="s">
        <v>294</v>
      </c>
      <c r="C67" s="8"/>
      <c r="D67" s="8"/>
      <c r="E67" s="8"/>
      <c r="F67" s="8"/>
      <c r="G67" s="8"/>
      <c r="H67" s="8"/>
      <c r="I67" s="236"/>
      <c r="J67" s="236">
        <f ca="1">J66/(1+wacc)^J70</f>
        <v>1999.342911000221</v>
      </c>
      <c r="K67" s="236">
        <f ca="1">K66/(1+wacc)^K70</f>
        <v>2477.4803421242746</v>
      </c>
      <c r="L67" s="236">
        <f ca="1">L66/(1+wacc)^L70</f>
        <v>2846.643153609125</v>
      </c>
      <c r="M67" s="236">
        <f ca="1">M66/(1+wacc)^M70</f>
        <v>2946.1439023153202</v>
      </c>
      <c r="N67" s="236">
        <f ca="1">N66/(1+wacc)^N70</f>
        <v>3026.1715761684914</v>
      </c>
    </row>
    <row r="69" spans="1:19" ht="14.5" customHeight="1" x14ac:dyDescent="0.2">
      <c r="B69" t="s">
        <v>295</v>
      </c>
      <c r="J69" s="233">
        <f>YEARFRAC(D5,D6)</f>
        <v>0.45277777777777778</v>
      </c>
      <c r="K69" s="233"/>
      <c r="L69" s="233"/>
      <c r="M69" s="233"/>
      <c r="N69" s="233"/>
    </row>
    <row r="70" spans="1:19" x14ac:dyDescent="0.2">
      <c r="B70" t="s">
        <v>296</v>
      </c>
      <c r="J70" s="233">
        <f>J69/2</f>
        <v>0.22638888888888889</v>
      </c>
      <c r="K70" s="285">
        <f>J69+0.5</f>
        <v>0.95277777777777772</v>
      </c>
      <c r="L70" s="285">
        <f>K70+1</f>
        <v>1.9527777777777777</v>
      </c>
      <c r="M70" s="285">
        <f>L70+1</f>
        <v>2.9527777777777775</v>
      </c>
      <c r="N70" s="285">
        <f>M70+1</f>
        <v>3.9527777777777775</v>
      </c>
    </row>
    <row r="72" spans="1:19" x14ac:dyDescent="0.2">
      <c r="B72" t="s">
        <v>262</v>
      </c>
      <c r="N72" s="280">
        <f ca="1">(N66*(1+tgr))/(wacc-tgr)</f>
        <v>70826.466770483356</v>
      </c>
    </row>
    <row r="73" spans="1:19" x14ac:dyDescent="0.2">
      <c r="B73" t="s">
        <v>297</v>
      </c>
      <c r="N73" s="280">
        <f ca="1">N72/(1+wacc)^N70</f>
        <v>51193.693110623921</v>
      </c>
    </row>
    <row r="74" spans="1:19" x14ac:dyDescent="0.2">
      <c r="B74" t="s">
        <v>143</v>
      </c>
      <c r="N74" s="131">
        <f ca="1">SUM(J67:N67,N73)</f>
        <v>64489.474995841352</v>
      </c>
    </row>
    <row r="75" spans="1:19" x14ac:dyDescent="0.2">
      <c r="B75" t="s">
        <v>298</v>
      </c>
      <c r="N75" s="299">
        <v>1419.87</v>
      </c>
    </row>
    <row r="76" spans="1:19" x14ac:dyDescent="0.2">
      <c r="B76" t="s">
        <v>299</v>
      </c>
      <c r="N76" s="280">
        <f>WACC!F15</f>
        <v>0</v>
      </c>
    </row>
    <row r="77" spans="1:19" x14ac:dyDescent="0.2">
      <c r="B77" t="s">
        <v>142</v>
      </c>
      <c r="N77" s="131">
        <f ca="1">N74+N75-N76</f>
        <v>65909.344995841355</v>
      </c>
    </row>
    <row r="79" spans="1:19" x14ac:dyDescent="0.2">
      <c r="B79" t="s">
        <v>300</v>
      </c>
      <c r="N79">
        <v>1386.21</v>
      </c>
      <c r="S79" s="131"/>
    </row>
    <row r="80" spans="1:19" x14ac:dyDescent="0.2">
      <c r="A80" s="139" t="s">
        <v>271</v>
      </c>
      <c r="B80" t="s">
        <v>301</v>
      </c>
      <c r="N80" s="233">
        <f ca="1">N77/N79</f>
        <v>47.546435962690609</v>
      </c>
      <c r="S80" s="263"/>
    </row>
  </sheetData>
  <mergeCells count="2">
    <mergeCell ref="T7:T15"/>
    <mergeCell ref="U7:AA7"/>
  </mergeCells>
  <conditionalFormatting sqref="T7:AA15">
    <cfRule type="colorScale" priority="1">
      <colorScale>
        <cfvo type="min"/>
        <cfvo type="max"/>
        <color theme="5" tint="0.79998168889431442"/>
        <color theme="8" tint="-0.249977111117893"/>
      </colorScale>
    </cfRule>
  </conditionalFormatting>
  <conditionalFormatting sqref="U8:AA15">
    <cfRule type="colorScale" priority="2">
      <colorScale>
        <cfvo type="min"/>
        <cfvo type="max"/>
        <color theme="5" tint="0.79998168889431442"/>
        <color theme="8" tint="0.39997558519241921"/>
      </colorScale>
    </cfRule>
    <cfRule type="colorScale" priority="3">
      <colorScale>
        <cfvo type="min"/>
        <cfvo type="max"/>
        <color theme="5" tint="0.79998168889431442"/>
        <color theme="4" tint="-0.249977111117893"/>
      </colorScale>
    </cfRule>
    <cfRule type="colorScale" priority="4">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D70F6-09C6-40ED-9417-01E5094FFB52}">
  <sheetPr>
    <tabColor theme="4"/>
  </sheetPr>
  <dimension ref="A2:H22"/>
  <sheetViews>
    <sheetView showGridLines="0" zoomScaleNormal="100" workbookViewId="0">
      <selection activeCell="F56" sqref="F56"/>
    </sheetView>
  </sheetViews>
  <sheetFormatPr baseColWidth="10" defaultColWidth="8.83203125" defaultRowHeight="15" x14ac:dyDescent="0.2"/>
  <cols>
    <col min="1" max="1" width="3.5" customWidth="1"/>
    <col min="6" max="6" width="12.5" customWidth="1"/>
  </cols>
  <sheetData>
    <row r="2" spans="1:8" s="8" customFormat="1" ht="21" x14ac:dyDescent="0.25">
      <c r="B2" s="261" t="s">
        <v>257</v>
      </c>
    </row>
    <row r="4" spans="1:8" x14ac:dyDescent="0.2">
      <c r="B4" t="s">
        <v>305</v>
      </c>
    </row>
    <row r="5" spans="1:8" x14ac:dyDescent="0.2">
      <c r="B5" t="s">
        <v>306</v>
      </c>
    </row>
    <row r="7" spans="1:8" x14ac:dyDescent="0.2">
      <c r="A7" t="s">
        <v>271</v>
      </c>
      <c r="B7" s="301" t="s">
        <v>257</v>
      </c>
      <c r="C7" s="302"/>
      <c r="D7" s="302"/>
      <c r="E7" s="302"/>
      <c r="F7" s="302"/>
    </row>
    <row r="8" spans="1:8" x14ac:dyDescent="0.2">
      <c r="B8" t="s">
        <v>307</v>
      </c>
      <c r="F8" s="10">
        <v>76643.41</v>
      </c>
    </row>
    <row r="9" spans="1:8" x14ac:dyDescent="0.2">
      <c r="B9" t="s">
        <v>308</v>
      </c>
      <c r="F9" s="303">
        <f>F8/F20</f>
        <v>1</v>
      </c>
    </row>
    <row r="10" spans="1:8" x14ac:dyDescent="0.2">
      <c r="B10" t="s">
        <v>258</v>
      </c>
      <c r="F10" s="304">
        <f>F11+F12*F13</f>
        <v>8.5589999999999999E-2</v>
      </c>
    </row>
    <row r="11" spans="1:8" x14ac:dyDescent="0.2">
      <c r="B11" t="s">
        <v>309</v>
      </c>
      <c r="F11" s="305">
        <v>4.1919999999999999E-2</v>
      </c>
    </row>
    <row r="12" spans="1:8" x14ac:dyDescent="0.2">
      <c r="B12" t="s">
        <v>310</v>
      </c>
      <c r="F12" s="306">
        <v>1.1000000000000001</v>
      </c>
    </row>
    <row r="13" spans="1:8" x14ac:dyDescent="0.2">
      <c r="B13" t="s">
        <v>311</v>
      </c>
      <c r="F13" s="305">
        <v>3.9699999999999999E-2</v>
      </c>
      <c r="H13" s="307"/>
    </row>
    <row r="15" spans="1:8" x14ac:dyDescent="0.2">
      <c r="B15" t="s">
        <v>116</v>
      </c>
      <c r="F15" s="308">
        <v>0</v>
      </c>
    </row>
    <row r="16" spans="1:8" x14ac:dyDescent="0.2">
      <c r="B16" t="s">
        <v>312</v>
      </c>
      <c r="F16" s="304">
        <f>F15/F20</f>
        <v>0</v>
      </c>
    </row>
    <row r="17" spans="1:6" x14ac:dyDescent="0.2">
      <c r="B17" t="s">
        <v>259</v>
      </c>
      <c r="F17" s="305">
        <v>0</v>
      </c>
    </row>
    <row r="18" spans="1:6" x14ac:dyDescent="0.2">
      <c r="B18" t="s">
        <v>260</v>
      </c>
      <c r="F18" s="305">
        <f>DCF!M14</f>
        <v>0.24199999999999999</v>
      </c>
    </row>
    <row r="20" spans="1:6" x14ac:dyDescent="0.2">
      <c r="B20" t="s">
        <v>167</v>
      </c>
      <c r="F20" s="10">
        <f>F15+F8</f>
        <v>76643.41</v>
      </c>
    </row>
    <row r="22" spans="1:6" x14ac:dyDescent="0.2">
      <c r="A22" t="s">
        <v>271</v>
      </c>
      <c r="B22" t="s">
        <v>257</v>
      </c>
      <c r="F22" s="304">
        <f>F9*F10</f>
        <v>8.5589999999999999E-2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2C724-1084-476E-904E-64B493CACA09}">
  <sheetPr>
    <tabColor rgb="FFFF0000"/>
  </sheetPr>
  <dimension ref="B1:AG54"/>
  <sheetViews>
    <sheetView tabSelected="1" zoomScaleNormal="100" workbookViewId="0">
      <selection activeCell="C4" sqref="C4"/>
    </sheetView>
  </sheetViews>
  <sheetFormatPr baseColWidth="10" defaultColWidth="11.5" defaultRowHeight="15" x14ac:dyDescent="0.2"/>
  <cols>
    <col min="2" max="2" width="20" bestFit="1" customWidth="1"/>
    <col min="3" max="3" width="10.83203125" bestFit="1" customWidth="1"/>
    <col min="4" max="4" width="24.1640625" bestFit="1" customWidth="1"/>
    <col min="5" max="5" width="0" hidden="1" customWidth="1"/>
    <col min="6" max="6" width="14" bestFit="1" customWidth="1"/>
    <col min="7" max="7" width="10.33203125" bestFit="1" customWidth="1"/>
    <col min="8" max="9" width="8.33203125" bestFit="1" customWidth="1"/>
    <col min="10" max="12" width="9.5" bestFit="1" customWidth="1"/>
    <col min="13" max="13" width="9.33203125" bestFit="1" customWidth="1"/>
    <col min="16" max="16" width="11.5" customWidth="1"/>
    <col min="17" max="19" width="11" bestFit="1" customWidth="1"/>
    <col min="21" max="25" width="11" bestFit="1" customWidth="1"/>
    <col min="27" max="28" width="11" bestFit="1" customWidth="1"/>
  </cols>
  <sheetData>
    <row r="1" spans="2:33" x14ac:dyDescent="0.2">
      <c r="U1" s="312">
        <f>C35</f>
        <v>44.838816089610525</v>
      </c>
      <c r="V1" s="312">
        <f>C41</f>
        <v>30.510000000000005</v>
      </c>
    </row>
    <row r="2" spans="2:33" x14ac:dyDescent="0.2">
      <c r="B2" s="80" t="s">
        <v>123</v>
      </c>
      <c r="C2" s="313" t="s">
        <v>266</v>
      </c>
      <c r="F2" s="314"/>
      <c r="G2" s="444"/>
      <c r="H2" s="444"/>
      <c r="I2" s="444"/>
      <c r="J2" s="444"/>
      <c r="K2" s="444"/>
      <c r="L2" s="444"/>
      <c r="M2" s="311"/>
      <c r="P2" s="444" t="s">
        <v>314</v>
      </c>
      <c r="Q2" s="444"/>
      <c r="R2" s="444"/>
      <c r="S2" s="444"/>
      <c r="U2" s="444" t="s">
        <v>315</v>
      </c>
      <c r="V2" s="444"/>
      <c r="W2" s="444"/>
      <c r="X2" s="444"/>
      <c r="Y2" s="444"/>
      <c r="AA2" s="444" t="str">
        <f>J3</f>
        <v>2024E</v>
      </c>
      <c r="AB2" s="444"/>
      <c r="AD2" s="444" t="str">
        <f>K3</f>
        <v>2025E</v>
      </c>
      <c r="AE2" s="444"/>
      <c r="AG2" s="315">
        <f ca="1">+C21</f>
        <v>1.4693748706272889</v>
      </c>
    </row>
    <row r="3" spans="2:33" x14ac:dyDescent="0.2">
      <c r="B3" s="80" t="s">
        <v>316</v>
      </c>
      <c r="C3" s="313" t="s">
        <v>371</v>
      </c>
      <c r="G3" s="316">
        <v>2021</v>
      </c>
      <c r="H3" s="316">
        <f>G3+1</f>
        <v>2022</v>
      </c>
      <c r="I3" s="316">
        <f>H3+1</f>
        <v>2023</v>
      </c>
      <c r="J3" s="317" t="s">
        <v>196</v>
      </c>
      <c r="K3" s="317" t="s">
        <v>197</v>
      </c>
      <c r="L3" s="317" t="s">
        <v>198</v>
      </c>
      <c r="M3" s="422"/>
      <c r="O3" s="318"/>
      <c r="P3" s="319" t="s">
        <v>197</v>
      </c>
      <c r="Q3" s="320" t="s">
        <v>139</v>
      </c>
      <c r="R3" s="320" t="s">
        <v>317</v>
      </c>
      <c r="S3" s="320" t="s">
        <v>318</v>
      </c>
      <c r="U3" s="321" t="s">
        <v>121</v>
      </c>
      <c r="V3" s="321" t="s">
        <v>319</v>
      </c>
      <c r="W3" s="321" t="s">
        <v>320</v>
      </c>
      <c r="X3" s="321" t="s">
        <v>321</v>
      </c>
      <c r="Y3" s="321" t="s">
        <v>322</v>
      </c>
      <c r="AA3" s="321" t="s">
        <v>139</v>
      </c>
      <c r="AB3" s="321" t="s">
        <v>323</v>
      </c>
      <c r="AD3" s="321" t="s">
        <v>139</v>
      </c>
      <c r="AE3" s="321" t="s">
        <v>323</v>
      </c>
      <c r="AG3" s="321" t="s">
        <v>324</v>
      </c>
    </row>
    <row r="4" spans="2:33" x14ac:dyDescent="0.2">
      <c r="B4" s="80" t="s">
        <v>325</v>
      </c>
      <c r="C4" s="322">
        <v>45491</v>
      </c>
      <c r="F4" s="11" t="s">
        <v>126</v>
      </c>
      <c r="G4" s="323">
        <f>DCF!G19</f>
        <v>7547.0609999999997</v>
      </c>
      <c r="H4" s="323">
        <f>DCF!H19</f>
        <v>8634.652</v>
      </c>
      <c r="I4" s="323">
        <f>DCF!I19</f>
        <v>9871.6489999999994</v>
      </c>
      <c r="J4" s="324">
        <f>DCF!J19</f>
        <v>11279.2631809124</v>
      </c>
      <c r="K4" s="324">
        <f>DCF!K19</f>
        <v>12873.896029353155</v>
      </c>
      <c r="L4" s="324">
        <f>DCF!L19</f>
        <v>14677.827472413146</v>
      </c>
      <c r="M4" s="324"/>
      <c r="O4" s="318" t="s">
        <v>326</v>
      </c>
      <c r="P4" s="334">
        <v>1.61</v>
      </c>
      <c r="Q4" s="325">
        <v>40.5</v>
      </c>
      <c r="R4" s="326">
        <f>+IFERROR(P4*Q4,"n.a.")</f>
        <v>65.204999999999998</v>
      </c>
      <c r="S4" s="327">
        <f>+IFERROR(R4/$C$8-1,"n.a.")</f>
        <v>0.22404730617608393</v>
      </c>
      <c r="U4" s="328">
        <v>114</v>
      </c>
      <c r="V4" s="329">
        <f>+IFERROR($U$1/U4-1,"n.a.")</f>
        <v>-0.60667705184552179</v>
      </c>
      <c r="W4" s="329">
        <f>+IFERROR($V$1/U4-1,"n.a.")</f>
        <v>-0.73236842105263156</v>
      </c>
      <c r="X4" s="330">
        <f>+IFERROR(V4/-W4,"n.a.")</f>
        <v>-0.82837685843082387</v>
      </c>
      <c r="Y4" s="314">
        <f t="shared" ref="Y4:Y48" si="0">+U4/$C$8-1</f>
        <v>1.140041299042613</v>
      </c>
      <c r="AA4" s="331">
        <f>+U4/$J$11</f>
        <v>100.08646031796516</v>
      </c>
      <c r="AB4" s="331">
        <f>+U4/$J$13</f>
        <v>101.78571428571428</v>
      </c>
      <c r="AD4" s="331">
        <f>+U4/$K$11</f>
        <v>80.281850537998153</v>
      </c>
      <c r="AE4" s="331">
        <f>+U4/$K$13</f>
        <v>84.444444444444443</v>
      </c>
      <c r="AG4" s="314">
        <f ca="1">+$AG$2/U4</f>
        <v>1.2889253251116568E-2</v>
      </c>
    </row>
    <row r="5" spans="2:33" x14ac:dyDescent="0.2">
      <c r="F5" s="94" t="s">
        <v>328</v>
      </c>
      <c r="G5" s="332">
        <f>MOD!S12</f>
        <v>0.26107310823017738</v>
      </c>
      <c r="H5" s="332">
        <f>H4/G4-1</f>
        <v>0.14410788517543449</v>
      </c>
      <c r="I5" s="332">
        <f>I4/H4-1</f>
        <v>0.14325962412845361</v>
      </c>
      <c r="J5" s="333">
        <f>J4/I4-1</f>
        <v>0.14259159547836431</v>
      </c>
      <c r="K5" s="333">
        <f>K4/J4-1</f>
        <v>0.14137739521312964</v>
      </c>
      <c r="L5" s="333">
        <f>L4/K4-1</f>
        <v>0.1401231949478956</v>
      </c>
      <c r="M5" s="333"/>
      <c r="O5" s="275" t="s">
        <v>329</v>
      </c>
      <c r="P5" s="334">
        <v>1.42</v>
      </c>
      <c r="Q5" s="325">
        <v>39.5</v>
      </c>
      <c r="R5" s="326">
        <f>+IFERROR(P5*Q5,"n.a.")</f>
        <v>56.089999999999996</v>
      </c>
      <c r="S5" s="327">
        <f>+IFERROR(R5/$C$8-1,"n.a.")</f>
        <v>5.2937863713159228E-2</v>
      </c>
      <c r="U5" s="335">
        <f>+U4-2</f>
        <v>112</v>
      </c>
      <c r="V5" s="329">
        <f>+IFERROR($U$1/U5-1,"n.a.")</f>
        <v>-0.59965342777133457</v>
      </c>
      <c r="W5" s="329">
        <f t="shared" ref="W5:W48" si="1">+IFERROR($V$1/U5-1,"n.a.")</f>
        <v>-0.72758928571428561</v>
      </c>
      <c r="X5" s="330">
        <f t="shared" ref="X5:X48" si="2">+IFERROR(V5/-W5,"n.a.")</f>
        <v>-0.82416473076929053</v>
      </c>
      <c r="Y5" s="314">
        <f t="shared" si="0"/>
        <v>1.1024967148488831</v>
      </c>
      <c r="AA5" s="331">
        <f t="shared" ref="AA5:AA48" si="3">+U5/$J$11</f>
        <v>98.330557505369285</v>
      </c>
      <c r="AB5" s="331">
        <f t="shared" ref="AB5:AB48" si="4">+U5/$J$13</f>
        <v>99.999999999999986</v>
      </c>
      <c r="AD5" s="331">
        <f t="shared" ref="AD5:AD48" si="5">+U5/$K$11</f>
        <v>78.87339701978766</v>
      </c>
      <c r="AE5" s="331">
        <f t="shared" ref="AE5:AE48" si="6">+U5/$K$13</f>
        <v>82.962962962962962</v>
      </c>
      <c r="AG5" s="314">
        <f t="shared" ref="AG5:AG48" ca="1" si="7">+$AG$2/U5</f>
        <v>1.311941848774365E-2</v>
      </c>
    </row>
    <row r="6" spans="2:33" x14ac:dyDescent="0.2">
      <c r="F6" s="94"/>
      <c r="G6" s="332"/>
      <c r="H6" s="332"/>
      <c r="I6" s="332"/>
      <c r="J6" s="333"/>
      <c r="K6" s="333"/>
      <c r="L6" s="333"/>
      <c r="M6" s="333"/>
      <c r="O6" s="318" t="s">
        <v>330</v>
      </c>
      <c r="P6" s="334">
        <v>1.35</v>
      </c>
      <c r="Q6" s="325">
        <v>22.6</v>
      </c>
      <c r="R6" s="326">
        <f>+IFERROR(P6*Q6,"n.a.")</f>
        <v>30.510000000000005</v>
      </c>
      <c r="S6" s="327">
        <f>+IFERROR(R6/$C$8-1,"n.a.")</f>
        <v>-0.42725736812464798</v>
      </c>
      <c r="U6" s="335">
        <f t="shared" ref="U6:U48" si="8">+U5-2</f>
        <v>110</v>
      </c>
      <c r="V6" s="329">
        <f>+IFERROR($U$1/U6-1,"n.a.")</f>
        <v>-0.59237439918535895</v>
      </c>
      <c r="W6" s="329">
        <f t="shared" si="1"/>
        <v>-0.72263636363636352</v>
      </c>
      <c r="X6" s="330">
        <f t="shared" si="2"/>
        <v>-0.81974064549489867</v>
      </c>
      <c r="Y6" s="314">
        <f t="shared" si="0"/>
        <v>1.0649521306551528</v>
      </c>
      <c r="AA6" s="331">
        <f t="shared" si="3"/>
        <v>96.574654692773407</v>
      </c>
      <c r="AB6" s="331">
        <f t="shared" si="4"/>
        <v>98.214285714285708</v>
      </c>
      <c r="AD6" s="331">
        <f t="shared" si="5"/>
        <v>77.464943501577167</v>
      </c>
      <c r="AE6" s="331">
        <f t="shared" si="6"/>
        <v>81.481481481481481</v>
      </c>
      <c r="AG6" s="314">
        <f ca="1">+$AG$2/U6</f>
        <v>1.335795336933899E-2</v>
      </c>
    </row>
    <row r="7" spans="2:33" x14ac:dyDescent="0.2">
      <c r="B7" s="444" t="s">
        <v>327</v>
      </c>
      <c r="C7" s="444"/>
      <c r="F7" s="11" t="s">
        <v>125</v>
      </c>
      <c r="G7" s="340">
        <f>DCF!G25</f>
        <v>1059.5999999999999</v>
      </c>
      <c r="H7" s="340">
        <f>DCF!H25</f>
        <v>1447.229</v>
      </c>
      <c r="I7" s="340">
        <f>DCF!I25</f>
        <v>1877.2070000000001</v>
      </c>
      <c r="J7" s="324">
        <f ca="1">DCF!J25</f>
        <v>2195.0018742541665</v>
      </c>
      <c r="K7" s="324">
        <f ca="1">DCF!K25</f>
        <v>2815.6394765248515</v>
      </c>
      <c r="L7" s="324">
        <f ca="1">DCF!L25</f>
        <v>3473.1199004482851</v>
      </c>
      <c r="M7" s="324"/>
      <c r="O7" s="341"/>
      <c r="P7" s="342"/>
      <c r="Q7" s="342"/>
      <c r="R7" s="342"/>
      <c r="S7" s="342"/>
      <c r="U7" s="335">
        <f t="shared" si="8"/>
        <v>108</v>
      </c>
      <c r="V7" s="329">
        <f t="shared" ref="V7:V48" si="9">+IFERROR($U$1/U7-1,"n.a.")</f>
        <v>-0.58482577694805071</v>
      </c>
      <c r="W7" s="329">
        <f t="shared" si="1"/>
        <v>-0.71750000000000003</v>
      </c>
      <c r="X7" s="330">
        <f t="shared" si="2"/>
        <v>-0.81508819086836337</v>
      </c>
      <c r="Y7" s="314">
        <f t="shared" si="0"/>
        <v>1.027407546461423</v>
      </c>
      <c r="AA7" s="331">
        <f t="shared" si="3"/>
        <v>94.81875188017753</v>
      </c>
      <c r="AB7" s="331">
        <f t="shared" si="4"/>
        <v>96.428571428571416</v>
      </c>
      <c r="AD7" s="331">
        <f t="shared" si="5"/>
        <v>76.056489983366674</v>
      </c>
      <c r="AE7" s="331">
        <f t="shared" si="6"/>
        <v>80</v>
      </c>
      <c r="AG7" s="314">
        <f ca="1">+$AG$2/U7</f>
        <v>1.3605322876178601E-2</v>
      </c>
    </row>
    <row r="8" spans="2:33" x14ac:dyDescent="0.2">
      <c r="B8" s="336" t="s">
        <v>263</v>
      </c>
      <c r="C8" s="337">
        <f>DCF!I5</f>
        <v>53.27</v>
      </c>
      <c r="F8" s="94" t="s">
        <v>238</v>
      </c>
      <c r="G8" s="332">
        <f>G7/G4</f>
        <v>0.14039902420293143</v>
      </c>
      <c r="H8" s="332">
        <f t="shared" ref="H8:L8" si="10">H7/H4</f>
        <v>0.16760710217389191</v>
      </c>
      <c r="I8" s="332">
        <f t="shared" si="10"/>
        <v>0.19016144111282726</v>
      </c>
      <c r="J8" s="333">
        <f t="shared" ca="1" si="10"/>
        <v>0.19460507650612413</v>
      </c>
      <c r="K8" s="333">
        <f t="shared" ca="1" si="10"/>
        <v>0.21870919806288994</v>
      </c>
      <c r="L8" s="333">
        <f t="shared" ca="1" si="10"/>
        <v>0.23662356755289465</v>
      </c>
      <c r="M8" s="333"/>
      <c r="P8" s="344"/>
      <c r="Q8" s="345"/>
      <c r="R8" s="345"/>
      <c r="S8" s="345"/>
      <c r="U8" s="335">
        <f t="shared" si="8"/>
        <v>106</v>
      </c>
      <c r="V8" s="329">
        <f t="shared" si="9"/>
        <v>-0.57699230104141019</v>
      </c>
      <c r="W8" s="329">
        <f t="shared" si="1"/>
        <v>-0.71216981132075463</v>
      </c>
      <c r="X8" s="330">
        <f t="shared" si="2"/>
        <v>-0.81018921592779825</v>
      </c>
      <c r="Y8" s="314">
        <f t="shared" si="0"/>
        <v>0.98986296226769266</v>
      </c>
      <c r="AA8" s="331">
        <f>+U8/$J$11</f>
        <v>93.062849067581652</v>
      </c>
      <c r="AB8" s="331">
        <f t="shared" si="4"/>
        <v>94.642857142857139</v>
      </c>
      <c r="AD8" s="331">
        <f t="shared" si="5"/>
        <v>74.648036465156181</v>
      </c>
      <c r="AE8" s="331">
        <f t="shared" si="6"/>
        <v>78.518518518518519</v>
      </c>
      <c r="AG8" s="314">
        <f t="shared" ca="1" si="7"/>
        <v>1.3862027081389517E-2</v>
      </c>
    </row>
    <row r="9" spans="2:33" x14ac:dyDescent="0.2">
      <c r="B9" s="338" t="s">
        <v>300</v>
      </c>
      <c r="C9" s="339">
        <f>DCF!N79</f>
        <v>1386.21</v>
      </c>
      <c r="F9" s="94" t="s">
        <v>328</v>
      </c>
      <c r="G9" s="332">
        <f>DCF!G25/DCF!F25-1</f>
        <v>1.0041687314875412</v>
      </c>
      <c r="H9" s="332">
        <f>H7/G7-1</f>
        <v>0.36582578331445847</v>
      </c>
      <c r="I9" s="332">
        <f t="shared" ref="I9:L9" si="11">I7/H7-1</f>
        <v>0.29710432834057365</v>
      </c>
      <c r="J9" s="333">
        <f t="shared" ca="1" si="11"/>
        <v>0.1692913324178773</v>
      </c>
      <c r="K9" s="333">
        <f t="shared" ca="1" si="11"/>
        <v>0.28275037463536101</v>
      </c>
      <c r="L9" s="333">
        <f t="shared" ca="1" si="11"/>
        <v>0.23351015973640066</v>
      </c>
      <c r="M9" s="333"/>
      <c r="P9" s="444" t="s">
        <v>288</v>
      </c>
      <c r="Q9" s="444"/>
      <c r="R9" s="444"/>
      <c r="S9" s="444"/>
      <c r="U9" s="335">
        <f t="shared" si="8"/>
        <v>104</v>
      </c>
      <c r="V9" s="329">
        <f t="shared" si="9"/>
        <v>-0.56885753759989877</v>
      </c>
      <c r="W9" s="329">
        <f t="shared" si="1"/>
        <v>-0.70663461538461536</v>
      </c>
      <c r="X9" s="330">
        <f t="shared" si="2"/>
        <v>-0.80502359382758848</v>
      </c>
      <c r="Y9" s="314">
        <f t="shared" si="0"/>
        <v>0.9523183780739628</v>
      </c>
      <c r="AA9" s="331">
        <f t="shared" si="3"/>
        <v>91.306946254985775</v>
      </c>
      <c r="AB9" s="331">
        <f t="shared" si="4"/>
        <v>92.857142857142847</v>
      </c>
      <c r="AD9" s="331">
        <f t="shared" si="5"/>
        <v>73.239582946945674</v>
      </c>
      <c r="AE9" s="331">
        <f t="shared" si="6"/>
        <v>77.037037037037038</v>
      </c>
      <c r="AG9" s="314">
        <f t="shared" ca="1" si="7"/>
        <v>1.4128604525262394E-2</v>
      </c>
    </row>
    <row r="10" spans="2:33" x14ac:dyDescent="0.2">
      <c r="B10" s="336" t="s">
        <v>307</v>
      </c>
      <c r="C10" s="343">
        <f>WACC!F8</f>
        <v>76643.41</v>
      </c>
      <c r="F10" s="94"/>
      <c r="G10" s="277"/>
      <c r="H10" s="332"/>
      <c r="I10" s="332"/>
      <c r="J10" s="333"/>
      <c r="K10" s="333"/>
      <c r="L10" s="333"/>
      <c r="M10" s="333"/>
      <c r="P10" s="445" t="s">
        <v>263</v>
      </c>
      <c r="Q10" s="446"/>
      <c r="R10" s="447"/>
      <c r="S10" s="347">
        <f>C8</f>
        <v>53.27</v>
      </c>
      <c r="U10" s="335">
        <f t="shared" si="8"/>
        <v>102</v>
      </c>
      <c r="V10" s="329">
        <f>+IFERROR($U$1/U10-1,"n.a.")</f>
        <v>-0.5604037638273478</v>
      </c>
      <c r="W10" s="329">
        <f t="shared" si="1"/>
        <v>-0.7008823529411764</v>
      </c>
      <c r="X10" s="330">
        <f>+IFERROR(V10/-W10,"n.a.")</f>
        <v>-0.79956894545236368</v>
      </c>
      <c r="Y10" s="314">
        <f t="shared" si="0"/>
        <v>0.91477379388023272</v>
      </c>
      <c r="AA10" s="331">
        <f t="shared" si="3"/>
        <v>89.551043442389883</v>
      </c>
      <c r="AB10" s="331">
        <f t="shared" si="4"/>
        <v>91.071428571428569</v>
      </c>
      <c r="AD10" s="331">
        <f>+U10/$K$11</f>
        <v>71.831129428735181</v>
      </c>
      <c r="AE10" s="331">
        <f t="shared" si="6"/>
        <v>75.555555555555557</v>
      </c>
      <c r="AG10" s="314">
        <f t="shared" ca="1" si="7"/>
        <v>1.4405635986542048E-2</v>
      </c>
    </row>
    <row r="11" spans="2:33" x14ac:dyDescent="0.2">
      <c r="B11" s="338" t="s">
        <v>331</v>
      </c>
      <c r="C11" s="346">
        <f>WACC!F15</f>
        <v>0</v>
      </c>
      <c r="F11" s="352" t="s">
        <v>333</v>
      </c>
      <c r="G11" s="353">
        <f>MOD!S78</f>
        <v>0.4580575918066711</v>
      </c>
      <c r="H11" s="353">
        <f>MOD!X78</f>
        <v>0.64079609436248308</v>
      </c>
      <c r="I11" s="353">
        <f>MOD!AC78</f>
        <v>0.88685456513893901</v>
      </c>
      <c r="J11" s="354">
        <f>MOD!AH78</f>
        <v>1.1390152038330943</v>
      </c>
      <c r="K11" s="354">
        <f>MOD!AI78</f>
        <v>1.4199971629458483</v>
      </c>
      <c r="L11" s="355">
        <f>MOD!AJ78</f>
        <v>1.7067138401437849</v>
      </c>
      <c r="M11" s="423"/>
      <c r="P11" s="445" t="s">
        <v>264</v>
      </c>
      <c r="Q11" s="446"/>
      <c r="R11" s="447"/>
      <c r="S11" s="356">
        <f ca="1">DCF!N80</f>
        <v>47.546435962690609</v>
      </c>
      <c r="U11" s="335">
        <f t="shared" si="8"/>
        <v>100</v>
      </c>
      <c r="V11" s="329">
        <f t="shared" si="9"/>
        <v>-0.55161183910389477</v>
      </c>
      <c r="W11" s="329">
        <f t="shared" si="1"/>
        <v>-0.69489999999999996</v>
      </c>
      <c r="X11" s="330">
        <f t="shared" si="2"/>
        <v>-0.79380031530276995</v>
      </c>
      <c r="Y11" s="314">
        <f t="shared" si="0"/>
        <v>0.87722920968650264</v>
      </c>
      <c r="AA11" s="331">
        <f t="shared" si="3"/>
        <v>87.795140629794005</v>
      </c>
      <c r="AB11" s="331">
        <f t="shared" si="4"/>
        <v>89.285714285714278</v>
      </c>
      <c r="AD11" s="331">
        <f t="shared" si="5"/>
        <v>70.422675910524688</v>
      </c>
      <c r="AE11" s="331">
        <f t="shared" si="6"/>
        <v>74.074074074074076</v>
      </c>
      <c r="AG11" s="314">
        <f t="shared" ca="1" si="7"/>
        <v>1.4693748706272889E-2</v>
      </c>
    </row>
    <row r="12" spans="2:33" ht="16" thickBot="1" x14ac:dyDescent="0.25">
      <c r="B12" s="338" t="s">
        <v>117</v>
      </c>
      <c r="C12" s="346">
        <f>DCF!N75</f>
        <v>1419.87</v>
      </c>
      <c r="F12" s="360" t="s">
        <v>328</v>
      </c>
      <c r="G12" s="361">
        <f>MOD!S78/MOD!N78-1</f>
        <v>0.82931541080069016</v>
      </c>
      <c r="H12" s="362">
        <f>H11/G11-1</f>
        <v>0.3989421981525394</v>
      </c>
      <c r="I12" s="362">
        <f t="shared" ref="I12:L12" si="12">I11/H11-1</f>
        <v>0.38398871800436796</v>
      </c>
      <c r="J12" s="362">
        <f t="shared" si="12"/>
        <v>0.28433144351537565</v>
      </c>
      <c r="K12" s="362">
        <f t="shared" si="12"/>
        <v>0.24668850614739268</v>
      </c>
      <c r="L12" s="363">
        <f t="shared" si="12"/>
        <v>0.20191355636452823</v>
      </c>
      <c r="M12" s="333"/>
      <c r="P12" s="448" t="s">
        <v>265</v>
      </c>
      <c r="Q12" s="449"/>
      <c r="R12" s="450"/>
      <c r="S12" s="364">
        <f ca="1">S11/S10-1</f>
        <v>-0.10744441594348397</v>
      </c>
      <c r="U12" s="335">
        <f t="shared" si="8"/>
        <v>98</v>
      </c>
      <c r="V12" s="329">
        <f t="shared" si="9"/>
        <v>-0.54246106031009667</v>
      </c>
      <c r="W12" s="329">
        <f t="shared" si="1"/>
        <v>-0.68867346938775498</v>
      </c>
      <c r="X12" s="330">
        <f t="shared" si="2"/>
        <v>-0.78768978975240012</v>
      </c>
      <c r="Y12" s="314">
        <f t="shared" si="0"/>
        <v>0.83968462549277256</v>
      </c>
      <c r="AA12" s="331">
        <f t="shared" si="3"/>
        <v>86.039237817198128</v>
      </c>
      <c r="AB12" s="331">
        <f t="shared" si="4"/>
        <v>87.499999999999986</v>
      </c>
      <c r="AD12" s="331">
        <f t="shared" si="5"/>
        <v>69.014222392314196</v>
      </c>
      <c r="AE12" s="331">
        <f t="shared" si="6"/>
        <v>72.592592592592581</v>
      </c>
      <c r="AG12" s="314">
        <f t="shared" ca="1" si="7"/>
        <v>1.4993621128849886E-2</v>
      </c>
    </row>
    <row r="13" spans="2:33" x14ac:dyDescent="0.2">
      <c r="B13" s="336" t="s">
        <v>332</v>
      </c>
      <c r="C13" s="343">
        <f>+C11-C12</f>
        <v>-1419.87</v>
      </c>
      <c r="F13" s="11" t="s">
        <v>336</v>
      </c>
      <c r="G13" s="371">
        <f>MOD!S79</f>
        <v>0.51</v>
      </c>
      <c r="H13" s="371">
        <f>MOD!X79</f>
        <v>0.66</v>
      </c>
      <c r="I13" s="371">
        <f>MOD!AC79</f>
        <v>0.9</v>
      </c>
      <c r="J13" s="371">
        <f>MOD!AH79</f>
        <v>1.1200000000000001</v>
      </c>
      <c r="K13" s="371">
        <f>MOD!AI79</f>
        <v>1.35</v>
      </c>
      <c r="L13" s="371">
        <f>MOD!AJ79</f>
        <v>1.61</v>
      </c>
      <c r="M13" s="371"/>
      <c r="P13" s="344"/>
      <c r="Q13" s="345"/>
      <c r="R13" s="345"/>
      <c r="S13" s="345"/>
      <c r="U13" s="335">
        <f t="shared" si="8"/>
        <v>96</v>
      </c>
      <c r="V13" s="329">
        <f t="shared" si="9"/>
        <v>-0.53292899906655711</v>
      </c>
      <c r="W13" s="329">
        <f t="shared" si="1"/>
        <v>-0.68218749999999995</v>
      </c>
      <c r="X13" s="330">
        <f t="shared" si="2"/>
        <v>-0.78120604535638249</v>
      </c>
      <c r="Y13" s="314">
        <f t="shared" si="0"/>
        <v>0.80214004129904248</v>
      </c>
      <c r="AA13" s="331">
        <f t="shared" si="3"/>
        <v>84.28333500460225</v>
      </c>
      <c r="AB13" s="331">
        <f t="shared" si="4"/>
        <v>85.714285714285708</v>
      </c>
      <c r="AD13" s="331">
        <f t="shared" si="5"/>
        <v>67.605768874103703</v>
      </c>
      <c r="AE13" s="331">
        <f t="shared" si="6"/>
        <v>71.1111111111111</v>
      </c>
      <c r="AG13" s="314">
        <f t="shared" ca="1" si="7"/>
        <v>1.5305988235700925E-2</v>
      </c>
    </row>
    <row r="14" spans="2:33" x14ac:dyDescent="0.2">
      <c r="B14" s="338" t="s">
        <v>335</v>
      </c>
      <c r="C14" s="346">
        <v>0</v>
      </c>
      <c r="F14" s="94" t="s">
        <v>328</v>
      </c>
      <c r="I14" s="314"/>
      <c r="J14" s="329">
        <f>+J13/I11-1</f>
        <v>0.26289026862542597</v>
      </c>
      <c r="K14" s="329">
        <f>+K13/J13-1</f>
        <v>0.20535714285714279</v>
      </c>
      <c r="L14" s="329">
        <f>+L13/K13-1</f>
        <v>0.19259259259259265</v>
      </c>
      <c r="M14" s="329"/>
      <c r="P14" s="342"/>
      <c r="Q14" s="373"/>
      <c r="R14" s="373"/>
      <c r="S14" s="373"/>
      <c r="U14" s="335">
        <f t="shared" si="8"/>
        <v>94</v>
      </c>
      <c r="V14" s="329">
        <f t="shared" si="9"/>
        <v>-0.52299131819563272</v>
      </c>
      <c r="W14" s="329">
        <f t="shared" si="1"/>
        <v>-0.67542553191489363</v>
      </c>
      <c r="X14" s="330">
        <f t="shared" si="2"/>
        <v>-0.77431381178751735</v>
      </c>
      <c r="Y14" s="314">
        <f t="shared" si="0"/>
        <v>0.7645954571053124</v>
      </c>
      <c r="AA14" s="331">
        <f t="shared" si="3"/>
        <v>82.527432192006373</v>
      </c>
      <c r="AB14" s="331">
        <f t="shared" si="4"/>
        <v>83.928571428571416</v>
      </c>
      <c r="AD14" s="331">
        <f t="shared" si="5"/>
        <v>66.19731535589321</v>
      </c>
      <c r="AE14" s="331">
        <f t="shared" si="6"/>
        <v>69.629629629629619</v>
      </c>
      <c r="AG14" s="314">
        <f t="shared" ca="1" si="7"/>
        <v>1.5631647559864775E-2</v>
      </c>
    </row>
    <row r="15" spans="2:33" ht="16" thickBot="1" x14ac:dyDescent="0.25">
      <c r="B15" s="369" t="s">
        <v>143</v>
      </c>
      <c r="C15" s="370">
        <f>+C10-C12+C11+C14</f>
        <v>75223.540000000008</v>
      </c>
      <c r="F15" s="375" t="s">
        <v>338</v>
      </c>
      <c r="G15" s="376"/>
      <c r="H15" s="376"/>
      <c r="I15" s="377"/>
      <c r="J15" s="378">
        <f>+IFERROR(J11/J13-1,"n.a.")</f>
        <v>1.6977860565262626E-2</v>
      </c>
      <c r="K15" s="378">
        <f t="shared" ref="K15:L15" si="13">+IFERROR(K11/K13-1,"n.a.")</f>
        <v>5.184975033025796E-2</v>
      </c>
      <c r="L15" s="379">
        <f t="shared" si="13"/>
        <v>6.0070708163841413E-2</v>
      </c>
      <c r="M15" s="424"/>
      <c r="P15" s="342"/>
      <c r="Q15" s="373"/>
      <c r="R15" s="373"/>
      <c r="S15" s="373"/>
      <c r="U15" s="335">
        <f t="shared" si="8"/>
        <v>92</v>
      </c>
      <c r="V15" s="329">
        <f t="shared" si="9"/>
        <v>-0.5126215642433638</v>
      </c>
      <c r="W15" s="329">
        <f t="shared" si="1"/>
        <v>-0.66836956521739133</v>
      </c>
      <c r="X15" s="330">
        <f t="shared" si="2"/>
        <v>-0.76697322996242423</v>
      </c>
      <c r="Y15" s="314">
        <f t="shared" si="0"/>
        <v>0.72705087291158232</v>
      </c>
      <c r="AA15" s="331">
        <f t="shared" si="3"/>
        <v>80.771529379410481</v>
      </c>
      <c r="AB15" s="331">
        <f t="shared" si="4"/>
        <v>82.142857142857139</v>
      </c>
      <c r="AD15" s="331">
        <f t="shared" si="5"/>
        <v>64.788861837682717</v>
      </c>
      <c r="AE15" s="331">
        <f t="shared" si="6"/>
        <v>68.148148148148138</v>
      </c>
      <c r="AG15" s="314">
        <f t="shared" ca="1" si="7"/>
        <v>1.5971465985079227E-2</v>
      </c>
    </row>
    <row r="16" spans="2:33" x14ac:dyDescent="0.2">
      <c r="C16" s="372"/>
      <c r="F16" s="11"/>
      <c r="G16" s="380"/>
      <c r="H16" s="380"/>
      <c r="I16" s="380"/>
      <c r="J16" s="380"/>
      <c r="K16" s="380"/>
      <c r="L16" s="380"/>
      <c r="M16" s="380"/>
      <c r="P16" s="342"/>
      <c r="Q16" s="373"/>
      <c r="R16" s="373"/>
      <c r="S16" s="373"/>
      <c r="U16" s="335">
        <f t="shared" si="8"/>
        <v>90</v>
      </c>
      <c r="V16" s="329">
        <f t="shared" si="9"/>
        <v>-0.50179093233766081</v>
      </c>
      <c r="W16" s="329">
        <f t="shared" si="1"/>
        <v>-0.66099999999999992</v>
      </c>
      <c r="X16" s="330">
        <f t="shared" si="2"/>
        <v>-0.75913908069237646</v>
      </c>
      <c r="Y16" s="314">
        <f t="shared" si="0"/>
        <v>0.68950628871785224</v>
      </c>
      <c r="AA16" s="331">
        <f t="shared" si="3"/>
        <v>79.015626566814603</v>
      </c>
      <c r="AB16" s="331">
        <f t="shared" si="4"/>
        <v>80.357142857142847</v>
      </c>
      <c r="AD16" s="331">
        <f t="shared" si="5"/>
        <v>63.380408319472224</v>
      </c>
      <c r="AE16" s="331">
        <f t="shared" si="6"/>
        <v>66.666666666666657</v>
      </c>
      <c r="AG16" s="314">
        <f t="shared" ca="1" si="7"/>
        <v>1.632638745141432E-2</v>
      </c>
    </row>
    <row r="17" spans="2:33" x14ac:dyDescent="0.2">
      <c r="B17" t="s">
        <v>337</v>
      </c>
      <c r="C17" s="374">
        <v>60</v>
      </c>
      <c r="G17" s="383">
        <f>G3</f>
        <v>2021</v>
      </c>
      <c r="H17" s="383">
        <f t="shared" ref="H17:L17" si="14">H3</f>
        <v>2022</v>
      </c>
      <c r="I17" s="383">
        <f t="shared" si="14"/>
        <v>2023</v>
      </c>
      <c r="J17" s="383" t="str">
        <f t="shared" si="14"/>
        <v>2024E</v>
      </c>
      <c r="K17" s="383" t="str">
        <f t="shared" si="14"/>
        <v>2025E</v>
      </c>
      <c r="L17" s="383" t="str">
        <f t="shared" si="14"/>
        <v>2026E</v>
      </c>
      <c r="M17" s="425"/>
      <c r="R17" s="373"/>
      <c r="U17" s="335">
        <f t="shared" si="8"/>
        <v>88</v>
      </c>
      <c r="V17" s="329">
        <f t="shared" si="9"/>
        <v>-0.49046799898169857</v>
      </c>
      <c r="W17" s="329">
        <f t="shared" si="1"/>
        <v>-0.65329545454545457</v>
      </c>
      <c r="X17" s="330">
        <f t="shared" si="2"/>
        <v>-0.75075985232891762</v>
      </c>
      <c r="Y17" s="314">
        <f t="shared" si="0"/>
        <v>0.65196170452412239</v>
      </c>
      <c r="AA17" s="331">
        <f t="shared" si="3"/>
        <v>77.259723754218726</v>
      </c>
      <c r="AB17" s="331">
        <f t="shared" si="4"/>
        <v>78.571428571428569</v>
      </c>
      <c r="AD17" s="331">
        <f t="shared" si="5"/>
        <v>61.971954801261731</v>
      </c>
      <c r="AE17" s="331">
        <f t="shared" si="6"/>
        <v>65.185185185185176</v>
      </c>
      <c r="AG17" s="314">
        <f t="shared" ca="1" si="7"/>
        <v>1.6697441711673738E-2</v>
      </c>
    </row>
    <row r="18" spans="2:33" ht="16" thickBot="1" x14ac:dyDescent="0.25">
      <c r="B18" t="s">
        <v>339</v>
      </c>
      <c r="C18" s="381">
        <v>50</v>
      </c>
      <c r="F18" s="385" t="s">
        <v>341</v>
      </c>
      <c r="G18" s="386">
        <f>+$C$15/G4</f>
        <v>9.9672627530107434</v>
      </c>
      <c r="H18" s="386">
        <f>+$C$15/H4</f>
        <v>8.7118206964218139</v>
      </c>
      <c r="I18" s="386">
        <f t="shared" ref="I18:L18" si="15">+$C$15/I4</f>
        <v>7.6201595093180492</v>
      </c>
      <c r="J18" s="387">
        <f>+$C$15/J4</f>
        <v>6.6691891831461856</v>
      </c>
      <c r="K18" s="387">
        <f t="shared" si="15"/>
        <v>5.8431060673852278</v>
      </c>
      <c r="L18" s="388">
        <f t="shared" si="15"/>
        <v>5.1249778035190854</v>
      </c>
      <c r="M18" s="426"/>
      <c r="O18" s="389"/>
      <c r="P18" s="344"/>
      <c r="Q18" s="345"/>
      <c r="R18" s="345"/>
      <c r="S18" s="345"/>
      <c r="U18" s="335">
        <f t="shared" si="8"/>
        <v>86</v>
      </c>
      <c r="V18" s="329">
        <f t="shared" si="9"/>
        <v>-0.47861841756266832</v>
      </c>
      <c r="W18" s="329">
        <f t="shared" si="1"/>
        <v>-0.64523255813953484</v>
      </c>
      <c r="X18" s="330">
        <f t="shared" si="2"/>
        <v>-0.7417766067830146</v>
      </c>
      <c r="Y18" s="314">
        <f t="shared" si="0"/>
        <v>0.61441712033039231</v>
      </c>
      <c r="AA18" s="331">
        <f t="shared" si="3"/>
        <v>75.503820941622848</v>
      </c>
      <c r="AB18" s="331">
        <f t="shared" si="4"/>
        <v>76.785714285714278</v>
      </c>
      <c r="AD18" s="331">
        <f t="shared" si="5"/>
        <v>60.563501283051238</v>
      </c>
      <c r="AE18" s="331">
        <f t="shared" si="6"/>
        <v>63.703703703703702</v>
      </c>
      <c r="AG18" s="314">
        <f t="shared" ca="1" si="7"/>
        <v>1.7085754309619637E-2</v>
      </c>
    </row>
    <row r="19" spans="2:33" x14ac:dyDescent="0.2">
      <c r="C19" s="382"/>
      <c r="F19" s="391" t="s">
        <v>343</v>
      </c>
      <c r="G19" s="426">
        <f>+$C$15/G7</f>
        <v>70.99239335598341</v>
      </c>
      <c r="H19" s="426">
        <f t="shared" ref="H19:L19" si="16">+$C$15/H7</f>
        <v>51.977634500137853</v>
      </c>
      <c r="I19" s="426">
        <f t="shared" si="16"/>
        <v>40.072053854476358</v>
      </c>
      <c r="J19" s="421">
        <f t="shared" ca="1" si="16"/>
        <v>34.27037620437568</v>
      </c>
      <c r="K19" s="421">
        <f t="shared" ca="1" si="16"/>
        <v>26.716325235233313</v>
      </c>
      <c r="L19" s="392">
        <f t="shared" ca="1" si="16"/>
        <v>21.658780046807685</v>
      </c>
      <c r="M19" s="426"/>
      <c r="P19" s="342"/>
      <c r="Q19" s="393"/>
      <c r="R19" s="393"/>
      <c r="S19" s="393"/>
      <c r="T19" s="357" t="s">
        <v>334</v>
      </c>
      <c r="U19" s="348">
        <f t="shared" si="8"/>
        <v>84</v>
      </c>
      <c r="V19" s="349">
        <f t="shared" si="9"/>
        <v>-0.46620457036177942</v>
      </c>
      <c r="W19" s="349">
        <f t="shared" si="1"/>
        <v>-0.63678571428571429</v>
      </c>
      <c r="X19" s="350">
        <f t="shared" si="2"/>
        <v>-0.73212159114581177</v>
      </c>
      <c r="Y19" s="351">
        <f t="shared" si="0"/>
        <v>0.57687253613666223</v>
      </c>
      <c r="AA19" s="331">
        <f t="shared" si="3"/>
        <v>73.747918129026971</v>
      </c>
      <c r="AB19" s="331">
        <f t="shared" si="4"/>
        <v>74.999999999999986</v>
      </c>
      <c r="AD19" s="331">
        <f t="shared" si="5"/>
        <v>59.155047764840745</v>
      </c>
      <c r="AE19" s="331">
        <f t="shared" si="6"/>
        <v>62.222222222222221</v>
      </c>
      <c r="AG19" s="314">
        <f t="shared" ca="1" si="7"/>
        <v>1.7492557983658202E-2</v>
      </c>
    </row>
    <row r="20" spans="2:33" x14ac:dyDescent="0.2">
      <c r="B20" t="s">
        <v>340</v>
      </c>
      <c r="C20" s="384">
        <f ca="1">DCF!J66</f>
        <v>2036.8621394122542</v>
      </c>
      <c r="F20" s="391" t="s">
        <v>139</v>
      </c>
      <c r="G20" s="426">
        <f>+$C$8/G11</f>
        <v>116.29541994903398</v>
      </c>
      <c r="H20" s="426">
        <f>+$C$8/H11</f>
        <v>83.130968600857969</v>
      </c>
      <c r="I20" s="426">
        <f>+$C$8/I11</f>
        <v>60.066218401496826</v>
      </c>
      <c r="J20" s="421">
        <f>+$C$8/J11</f>
        <v>46.76847141349127</v>
      </c>
      <c r="K20" s="421">
        <f t="shared" ref="K20" si="17">+$C$8/K11</f>
        <v>37.514159457536508</v>
      </c>
      <c r="L20" s="392">
        <f>+$C$8/L11</f>
        <v>31.21202790241168</v>
      </c>
      <c r="M20" s="426"/>
      <c r="P20" s="342"/>
      <c r="Q20" s="393"/>
      <c r="R20" s="393"/>
      <c r="S20" s="393"/>
      <c r="U20" s="358">
        <f t="shared" si="8"/>
        <v>82</v>
      </c>
      <c r="V20" s="329">
        <f t="shared" si="9"/>
        <v>-0.45318516963889599</v>
      </c>
      <c r="W20" s="329">
        <f t="shared" si="1"/>
        <v>-0.62792682926829269</v>
      </c>
      <c r="X20" s="330">
        <f t="shared" si="2"/>
        <v>-0.7217165257407161</v>
      </c>
      <c r="Y20" s="359">
        <f t="shared" si="0"/>
        <v>0.53932795194293215</v>
      </c>
      <c r="AA20" s="331">
        <f t="shared" si="3"/>
        <v>71.992015316431093</v>
      </c>
      <c r="AB20" s="331">
        <f t="shared" si="4"/>
        <v>73.214285714285708</v>
      </c>
      <c r="AD20" s="331">
        <f t="shared" si="5"/>
        <v>57.746594246630245</v>
      </c>
      <c r="AE20" s="331">
        <f t="shared" si="6"/>
        <v>60.740740740740733</v>
      </c>
      <c r="AG20" s="314">
        <f t="shared" ca="1" si="7"/>
        <v>1.791920573935718E-2</v>
      </c>
    </row>
    <row r="21" spans="2:33" ht="16" thickBot="1" x14ac:dyDescent="0.25">
      <c r="B21" t="s">
        <v>342</v>
      </c>
      <c r="C21" s="390">
        <f ca="1">+C20/C9</f>
        <v>1.4693748706272889</v>
      </c>
      <c r="F21" s="202" t="s">
        <v>345</v>
      </c>
      <c r="G21" s="428">
        <f>+$C$8/G13</f>
        <v>104.45098039215686</v>
      </c>
      <c r="H21" s="428">
        <f>+$C$8/H13</f>
        <v>80.712121212121218</v>
      </c>
      <c r="I21" s="428">
        <f t="shared" ref="I21" si="18">+$C$8/I13</f>
        <v>59.18888888888889</v>
      </c>
      <c r="J21" s="395">
        <f>+$C$8/J13</f>
        <v>47.5625</v>
      </c>
      <c r="K21" s="395">
        <f>+$C$8/K13</f>
        <v>39.459259259259262</v>
      </c>
      <c r="L21" s="427">
        <f>+$C$8/L13</f>
        <v>33.086956521739133</v>
      </c>
      <c r="M21" s="426"/>
      <c r="P21" s="342"/>
      <c r="Q21" s="393"/>
      <c r="R21" s="393"/>
      <c r="S21" s="393"/>
      <c r="U21" s="365">
        <f t="shared" si="8"/>
        <v>80</v>
      </c>
      <c r="V21" s="366">
        <f t="shared" si="9"/>
        <v>-0.43951479887986844</v>
      </c>
      <c r="W21" s="366">
        <f t="shared" si="1"/>
        <v>-0.61862499999999998</v>
      </c>
      <c r="X21" s="367">
        <f t="shared" si="2"/>
        <v>-0.71047047707394373</v>
      </c>
      <c r="Y21" s="368">
        <f t="shared" si="0"/>
        <v>0.50178336774920207</v>
      </c>
      <c r="AA21" s="331">
        <f>+U21/$J$11</f>
        <v>70.236112503835201</v>
      </c>
      <c r="AB21" s="331">
        <f t="shared" si="4"/>
        <v>71.428571428571416</v>
      </c>
      <c r="AD21" s="331">
        <f t="shared" si="5"/>
        <v>56.338140728419752</v>
      </c>
      <c r="AE21" s="331">
        <f t="shared" si="6"/>
        <v>59.259259259259252</v>
      </c>
      <c r="AG21" s="314">
        <f t="shared" ca="1" si="7"/>
        <v>1.836718588284111E-2</v>
      </c>
    </row>
    <row r="22" spans="2:33" x14ac:dyDescent="0.2">
      <c r="B22" s="375" t="s">
        <v>344</v>
      </c>
      <c r="C22" s="394">
        <f ca="1">+C21/C8</f>
        <v>2.7583534271208725E-2</v>
      </c>
      <c r="U22" s="335">
        <f t="shared" si="8"/>
        <v>78</v>
      </c>
      <c r="V22" s="329">
        <f t="shared" si="9"/>
        <v>-0.42514338346653169</v>
      </c>
      <c r="W22" s="329">
        <f t="shared" si="1"/>
        <v>-0.60884615384615381</v>
      </c>
      <c r="X22" s="330">
        <f t="shared" si="2"/>
        <v>-0.69827719331205462</v>
      </c>
      <c r="Y22" s="314">
        <f t="shared" si="0"/>
        <v>0.46423878355547199</v>
      </c>
      <c r="AA22" s="331">
        <f t="shared" si="3"/>
        <v>68.480209691239324</v>
      </c>
      <c r="AB22" s="331">
        <f t="shared" si="4"/>
        <v>69.642857142857139</v>
      </c>
      <c r="AD22" s="331">
        <f t="shared" si="5"/>
        <v>54.929687210209259</v>
      </c>
      <c r="AE22" s="331">
        <f t="shared" si="6"/>
        <v>57.777777777777771</v>
      </c>
      <c r="AG22" s="314">
        <f t="shared" ca="1" si="7"/>
        <v>1.8838139367016525E-2</v>
      </c>
    </row>
    <row r="23" spans="2:33" x14ac:dyDescent="0.2">
      <c r="U23" s="335">
        <f t="shared" si="8"/>
        <v>76</v>
      </c>
      <c r="V23" s="329">
        <f t="shared" si="9"/>
        <v>-0.41001557776828257</v>
      </c>
      <c r="W23" s="329">
        <f t="shared" si="1"/>
        <v>-0.59855263157894734</v>
      </c>
      <c r="X23" s="330">
        <f t="shared" si="2"/>
        <v>-0.6850117368738069</v>
      </c>
      <c r="Y23" s="314">
        <f t="shared" si="0"/>
        <v>0.42669419936174191</v>
      </c>
      <c r="AA23" s="331">
        <f t="shared" si="3"/>
        <v>66.724306878643446</v>
      </c>
      <c r="AB23" s="331">
        <f t="shared" si="4"/>
        <v>67.857142857142847</v>
      </c>
      <c r="AD23" s="331">
        <f>+U23/$K$11</f>
        <v>53.521233691998766</v>
      </c>
      <c r="AE23" s="331">
        <f t="shared" si="6"/>
        <v>56.296296296296291</v>
      </c>
      <c r="AG23" s="314">
        <f t="shared" ca="1" si="7"/>
        <v>1.9333879876674852E-2</v>
      </c>
    </row>
    <row r="24" spans="2:33" x14ac:dyDescent="0.2">
      <c r="B24" s="408" t="s">
        <v>346</v>
      </c>
      <c r="C24" s="408"/>
      <c r="F24" s="444" t="s">
        <v>361</v>
      </c>
      <c r="G24" s="444"/>
      <c r="H24" s="444"/>
      <c r="I24" s="444"/>
      <c r="J24" s="444"/>
      <c r="K24" s="444"/>
      <c r="U24" s="335">
        <f t="shared" si="8"/>
        <v>74</v>
      </c>
      <c r="V24" s="329">
        <f t="shared" si="9"/>
        <v>-0.39407005284310104</v>
      </c>
      <c r="W24" s="329">
        <f t="shared" si="1"/>
        <v>-0.58770270270270264</v>
      </c>
      <c r="X24" s="330">
        <f t="shared" si="2"/>
        <v>-0.67052618786823359</v>
      </c>
      <c r="Y24" s="314">
        <f t="shared" si="0"/>
        <v>0.38914961516801183</v>
      </c>
      <c r="AA24" s="331">
        <f t="shared" si="3"/>
        <v>64.968404066047569</v>
      </c>
      <c r="AB24" s="331">
        <f t="shared" si="4"/>
        <v>66.071428571428569</v>
      </c>
      <c r="AD24" s="331">
        <f t="shared" si="5"/>
        <v>52.112780173788273</v>
      </c>
      <c r="AE24" s="331">
        <f t="shared" si="6"/>
        <v>54.81481481481481</v>
      </c>
      <c r="AG24" s="314">
        <f t="shared" ca="1" si="7"/>
        <v>1.9856417170639039E-2</v>
      </c>
    </row>
    <row r="25" spans="2:33" ht="15" customHeight="1" x14ac:dyDescent="0.2">
      <c r="B25" t="s">
        <v>347</v>
      </c>
      <c r="C25" s="396">
        <f>MOD!AJ67/1000/SUM!C9</f>
        <v>1.7005454844551657</v>
      </c>
      <c r="F25" s="451" t="s">
        <v>362</v>
      </c>
      <c r="G25" s="451"/>
      <c r="H25" s="451"/>
      <c r="I25" s="451"/>
      <c r="J25" s="451"/>
      <c r="K25" s="451"/>
      <c r="U25" s="335">
        <f t="shared" si="8"/>
        <v>72</v>
      </c>
      <c r="V25" s="329">
        <f t="shared" si="9"/>
        <v>-0.37723866542207607</v>
      </c>
      <c r="W25" s="329">
        <f t="shared" si="1"/>
        <v>-0.57624999999999993</v>
      </c>
      <c r="X25" s="330">
        <f t="shared" si="2"/>
        <v>-0.65464410485392821</v>
      </c>
      <c r="Y25" s="314">
        <f t="shared" si="0"/>
        <v>0.35160503097428197</v>
      </c>
      <c r="AA25" s="331">
        <f t="shared" si="3"/>
        <v>63.212501253451684</v>
      </c>
      <c r="AB25" s="331">
        <f t="shared" si="4"/>
        <v>64.285714285714278</v>
      </c>
      <c r="AD25" s="331">
        <f t="shared" si="5"/>
        <v>50.704326655577781</v>
      </c>
      <c r="AE25" s="331">
        <f t="shared" si="6"/>
        <v>53.333333333333329</v>
      </c>
      <c r="AG25" s="314">
        <f t="shared" ca="1" si="7"/>
        <v>2.04079843142679E-2</v>
      </c>
    </row>
    <row r="26" spans="2:33" x14ac:dyDescent="0.2">
      <c r="B26" t="s">
        <v>348</v>
      </c>
      <c r="C26" s="397">
        <f>Q4</f>
        <v>40.5</v>
      </c>
      <c r="F26" s="451"/>
      <c r="G26" s="451"/>
      <c r="H26" s="451"/>
      <c r="I26" s="451"/>
      <c r="J26" s="451"/>
      <c r="K26" s="451"/>
      <c r="U26" s="335">
        <f t="shared" si="8"/>
        <v>70</v>
      </c>
      <c r="V26" s="329">
        <f>+IFERROR($U$1/U26-1,"n.a.")</f>
        <v>-0.35944548443413538</v>
      </c>
      <c r="W26" s="329">
        <f t="shared" si="1"/>
        <v>-0.56414285714285706</v>
      </c>
      <c r="X26" s="432">
        <f t="shared" si="2"/>
        <v>-0.63715330236488932</v>
      </c>
      <c r="Y26" s="314">
        <f t="shared" si="0"/>
        <v>0.31406044678055189</v>
      </c>
      <c r="AA26" s="331">
        <f t="shared" si="3"/>
        <v>61.456598440855807</v>
      </c>
      <c r="AB26" s="331">
        <f t="shared" si="4"/>
        <v>62.499999999999993</v>
      </c>
      <c r="AD26" s="331">
        <f t="shared" si="5"/>
        <v>49.295873137367288</v>
      </c>
      <c r="AE26" s="331">
        <f t="shared" si="6"/>
        <v>51.851851851851848</v>
      </c>
      <c r="AG26" s="314">
        <f t="shared" ca="1" si="7"/>
        <v>2.0991069580389841E-2</v>
      </c>
    </row>
    <row r="27" spans="2:33" x14ac:dyDescent="0.2">
      <c r="B27" s="11" t="s">
        <v>346</v>
      </c>
      <c r="C27" s="398">
        <f>+C25*C26</f>
        <v>68.872092120434218</v>
      </c>
      <c r="F27" s="451"/>
      <c r="G27" s="451"/>
      <c r="H27" s="451"/>
      <c r="I27" s="451"/>
      <c r="J27" s="451"/>
      <c r="K27" s="451"/>
      <c r="U27" s="335">
        <f t="shared" si="8"/>
        <v>68</v>
      </c>
      <c r="V27" s="329">
        <f t="shared" si="9"/>
        <v>-0.3406056457410217</v>
      </c>
      <c r="W27" s="329">
        <f t="shared" si="1"/>
        <v>-0.55132352941176466</v>
      </c>
      <c r="X27" s="432">
        <f t="shared" si="2"/>
        <v>-0.6177963166281536</v>
      </c>
      <c r="Y27" s="314">
        <f t="shared" si="0"/>
        <v>0.27651586258682181</v>
      </c>
      <c r="AA27" s="331">
        <f t="shared" si="3"/>
        <v>59.700695628259922</v>
      </c>
      <c r="AB27" s="331">
        <f t="shared" si="4"/>
        <v>60.714285714285708</v>
      </c>
      <c r="AD27" s="331">
        <f t="shared" si="5"/>
        <v>47.887419619156795</v>
      </c>
      <c r="AE27" s="331">
        <f t="shared" si="6"/>
        <v>50.370370370370367</v>
      </c>
      <c r="AG27" s="314">
        <f t="shared" ca="1" si="7"/>
        <v>2.1608453979813071E-2</v>
      </c>
    </row>
    <row r="28" spans="2:33" ht="16" thickBot="1" x14ac:dyDescent="0.25">
      <c r="B28" s="399" t="s">
        <v>318</v>
      </c>
      <c r="C28" s="400">
        <f>+C27/$C$8-1</f>
        <v>0.29288703060698729</v>
      </c>
      <c r="F28" s="451"/>
      <c r="G28" s="451"/>
      <c r="H28" s="451"/>
      <c r="I28" s="451"/>
      <c r="J28" s="451"/>
      <c r="K28" s="451"/>
      <c r="U28" s="335">
        <f t="shared" si="8"/>
        <v>66</v>
      </c>
      <c r="V28" s="329">
        <f t="shared" si="9"/>
        <v>-0.32062399864226476</v>
      </c>
      <c r="W28" s="329">
        <f t="shared" si="1"/>
        <v>-0.53772727272727261</v>
      </c>
      <c r="X28" s="330">
        <f t="shared" si="2"/>
        <v>-0.59625764751731414</v>
      </c>
      <c r="Y28" s="314">
        <f t="shared" si="0"/>
        <v>0.23897127839309174</v>
      </c>
      <c r="AA28" s="331">
        <f t="shared" si="3"/>
        <v>57.944792815664044</v>
      </c>
      <c r="AB28" s="331">
        <f t="shared" si="4"/>
        <v>58.928571428571423</v>
      </c>
      <c r="AD28" s="331">
        <f t="shared" si="5"/>
        <v>46.478966100946295</v>
      </c>
      <c r="AE28" s="331">
        <f t="shared" si="6"/>
        <v>48.888888888888886</v>
      </c>
      <c r="AG28" s="314">
        <f t="shared" ca="1" si="7"/>
        <v>2.2263255615564984E-2</v>
      </c>
    </row>
    <row r="29" spans="2:33" x14ac:dyDescent="0.2">
      <c r="B29" s="402" t="s">
        <v>350</v>
      </c>
      <c r="C29" s="403">
        <f>+C27/$C$8</f>
        <v>1.2928870306069873</v>
      </c>
      <c r="F29" s="451"/>
      <c r="G29" s="451"/>
      <c r="H29" s="451"/>
      <c r="I29" s="451"/>
      <c r="J29" s="451"/>
      <c r="K29" s="451"/>
      <c r="T29" s="357" t="s">
        <v>349</v>
      </c>
      <c r="U29" s="348">
        <f t="shared" si="8"/>
        <v>64</v>
      </c>
      <c r="V29" s="349">
        <f t="shared" si="9"/>
        <v>-0.29939349859983555</v>
      </c>
      <c r="W29" s="349">
        <f t="shared" si="1"/>
        <v>-0.52328124999999992</v>
      </c>
      <c r="X29" s="350">
        <f t="shared" si="2"/>
        <v>-0.57214642909493818</v>
      </c>
      <c r="Y29" s="351">
        <f t="shared" si="0"/>
        <v>0.20142669419936166</v>
      </c>
      <c r="AA29" s="331">
        <f t="shared" si="3"/>
        <v>56.188890003068167</v>
      </c>
      <c r="AB29" s="331">
        <f t="shared" si="4"/>
        <v>57.142857142857139</v>
      </c>
      <c r="AD29" s="331">
        <f t="shared" si="5"/>
        <v>45.070512582735802</v>
      </c>
      <c r="AE29" s="331">
        <f t="shared" si="6"/>
        <v>47.407407407407405</v>
      </c>
      <c r="AG29" s="314">
        <f t="shared" ca="1" si="7"/>
        <v>2.2958982353551389E-2</v>
      </c>
    </row>
    <row r="30" spans="2:33" ht="16" thickBot="1" x14ac:dyDescent="0.25">
      <c r="B30" s="404" t="s">
        <v>351</v>
      </c>
      <c r="C30" s="405">
        <f>+RATE(3,0,-C8,C27,0,0)</f>
        <v>8.9398717444149192E-2</v>
      </c>
      <c r="F30" s="451"/>
      <c r="G30" s="451"/>
      <c r="H30" s="451"/>
      <c r="I30" s="451"/>
      <c r="J30" s="451"/>
      <c r="K30" s="451"/>
      <c r="U30" s="365">
        <f t="shared" si="8"/>
        <v>62</v>
      </c>
      <c r="V30" s="366">
        <f t="shared" si="9"/>
        <v>-0.27679328887724963</v>
      </c>
      <c r="W30" s="366">
        <f t="shared" si="1"/>
        <v>-0.50790322580645153</v>
      </c>
      <c r="X30" s="367">
        <f t="shared" si="2"/>
        <v>-0.54497249636041534</v>
      </c>
      <c r="Y30" s="368">
        <f t="shared" si="0"/>
        <v>0.16388211000563158</v>
      </c>
      <c r="AA30" s="331">
        <f t="shared" si="3"/>
        <v>54.432987190472282</v>
      </c>
      <c r="AB30" s="331">
        <f t="shared" si="4"/>
        <v>55.357142857142854</v>
      </c>
      <c r="AD30" s="331">
        <f t="shared" si="5"/>
        <v>43.662059064525309</v>
      </c>
      <c r="AE30" s="331">
        <f t="shared" si="6"/>
        <v>45.925925925925924</v>
      </c>
      <c r="AG30" s="314">
        <f t="shared" ca="1" si="7"/>
        <v>2.3699594687536917E-2</v>
      </c>
    </row>
    <row r="31" spans="2:33" ht="16" thickBot="1" x14ac:dyDescent="0.25">
      <c r="F31" s="451"/>
      <c r="G31" s="451"/>
      <c r="H31" s="451"/>
      <c r="I31" s="451"/>
      <c r="J31" s="451"/>
      <c r="K31" s="451"/>
      <c r="U31" s="335">
        <f t="shared" si="8"/>
        <v>60</v>
      </c>
      <c r="V31" s="329">
        <f t="shared" si="9"/>
        <v>-0.25268639850649122</v>
      </c>
      <c r="W31" s="329">
        <f t="shared" si="1"/>
        <v>-0.49149999999999994</v>
      </c>
      <c r="X31" s="330">
        <f t="shared" si="2"/>
        <v>-0.51411271313629958</v>
      </c>
      <c r="Y31" s="314">
        <f t="shared" si="0"/>
        <v>0.1263375258119015</v>
      </c>
      <c r="AA31" s="331">
        <f t="shared" si="3"/>
        <v>52.677084377876405</v>
      </c>
      <c r="AB31" s="331">
        <f t="shared" si="4"/>
        <v>53.571428571428569</v>
      </c>
      <c r="AD31" s="331">
        <f t="shared" si="5"/>
        <v>42.253605546314816</v>
      </c>
      <c r="AE31" s="331">
        <f t="shared" si="6"/>
        <v>44.444444444444443</v>
      </c>
      <c r="AG31" s="314">
        <f t="shared" ca="1" si="7"/>
        <v>2.4489581177121481E-2</v>
      </c>
    </row>
    <row r="32" spans="2:33" x14ac:dyDescent="0.2">
      <c r="B32" s="408" t="s">
        <v>352</v>
      </c>
      <c r="C32" s="408"/>
      <c r="F32" s="451"/>
      <c r="G32" s="451"/>
      <c r="H32" s="451"/>
      <c r="I32" s="451"/>
      <c r="J32" s="451"/>
      <c r="K32" s="451"/>
      <c r="T32" s="357" t="s">
        <v>354</v>
      </c>
      <c r="U32" s="348">
        <f t="shared" si="8"/>
        <v>58</v>
      </c>
      <c r="V32" s="349">
        <f t="shared" si="9"/>
        <v>-0.22691696397223238</v>
      </c>
      <c r="W32" s="349">
        <f t="shared" si="1"/>
        <v>-0.47396551724137925</v>
      </c>
      <c r="X32" s="350">
        <f t="shared" si="2"/>
        <v>-0.47876260132373516</v>
      </c>
      <c r="Y32" s="351">
        <f t="shared" si="0"/>
        <v>8.8792941618171417E-2</v>
      </c>
      <c r="AA32" s="331">
        <f t="shared" si="3"/>
        <v>50.921181565280527</v>
      </c>
      <c r="AB32" s="331">
        <f t="shared" si="4"/>
        <v>51.785714285714278</v>
      </c>
      <c r="AD32" s="331">
        <f t="shared" si="5"/>
        <v>40.845152028104323</v>
      </c>
      <c r="AE32" s="331">
        <f t="shared" si="6"/>
        <v>42.962962962962962</v>
      </c>
      <c r="AG32" s="314">
        <f t="shared" ca="1" si="7"/>
        <v>2.5334049493573946E-2</v>
      </c>
    </row>
    <row r="33" spans="2:33" ht="16" thickBot="1" x14ac:dyDescent="0.25">
      <c r="B33" t="s">
        <v>353</v>
      </c>
      <c r="C33" s="396">
        <f>MOD!AH67/1000/SUM!C9</f>
        <v>1.1351599010027982</v>
      </c>
      <c r="F33" s="451"/>
      <c r="G33" s="451"/>
      <c r="H33" s="451"/>
      <c r="I33" s="451"/>
      <c r="J33" s="451"/>
      <c r="K33" s="451"/>
      <c r="U33" s="365">
        <f t="shared" si="8"/>
        <v>56</v>
      </c>
      <c r="V33" s="431">
        <f t="shared" si="9"/>
        <v>-0.19930685554266925</v>
      </c>
      <c r="W33" s="431">
        <f t="shared" si="1"/>
        <v>-0.45517857142857132</v>
      </c>
      <c r="X33" s="367">
        <f t="shared" si="2"/>
        <v>-0.43786519852449907</v>
      </c>
      <c r="Y33" s="368">
        <f t="shared" si="0"/>
        <v>5.124835742444156E-2</v>
      </c>
      <c r="AA33" s="331">
        <f t="shared" si="3"/>
        <v>49.165278752684642</v>
      </c>
      <c r="AB33" s="331">
        <f t="shared" si="4"/>
        <v>49.999999999999993</v>
      </c>
      <c r="AD33" s="331">
        <f t="shared" si="5"/>
        <v>39.43669850989383</v>
      </c>
      <c r="AE33" s="331">
        <f t="shared" si="6"/>
        <v>41.481481481481481</v>
      </c>
      <c r="AG33" s="314">
        <f t="shared" ca="1" si="7"/>
        <v>2.62388369754873E-2</v>
      </c>
    </row>
    <row r="34" spans="2:33" ht="16" thickBot="1" x14ac:dyDescent="0.25">
      <c r="B34" t="s">
        <v>348</v>
      </c>
      <c r="C34" s="397">
        <f>Q5</f>
        <v>39.5</v>
      </c>
      <c r="F34" s="451"/>
      <c r="G34" s="451"/>
      <c r="H34" s="451"/>
      <c r="I34" s="451"/>
      <c r="J34" s="451"/>
      <c r="K34" s="451"/>
      <c r="U34" s="335">
        <f t="shared" si="8"/>
        <v>54</v>
      </c>
      <c r="V34" s="429">
        <f t="shared" si="9"/>
        <v>-0.16965155389610143</v>
      </c>
      <c r="W34" s="429">
        <f t="shared" si="1"/>
        <v>-0.43499999999999994</v>
      </c>
      <c r="X34" s="430">
        <f t="shared" si="2"/>
        <v>-0.39000357217494586</v>
      </c>
      <c r="Y34" s="314">
        <f t="shared" si="0"/>
        <v>1.370377323071148E-2</v>
      </c>
      <c r="AA34" s="331">
        <f t="shared" si="3"/>
        <v>47.409375940088765</v>
      </c>
      <c r="AB34" s="331">
        <f t="shared" si="4"/>
        <v>48.214285714285708</v>
      </c>
      <c r="AD34" s="331">
        <f t="shared" si="5"/>
        <v>38.028244991683337</v>
      </c>
      <c r="AE34" s="331">
        <f t="shared" si="6"/>
        <v>40</v>
      </c>
      <c r="AG34" s="314">
        <f t="shared" ca="1" si="7"/>
        <v>2.7210645752357203E-2</v>
      </c>
    </row>
    <row r="35" spans="2:33" x14ac:dyDescent="0.2">
      <c r="B35" s="352" t="s">
        <v>355</v>
      </c>
      <c r="C35" s="406">
        <f>+C33*C34</f>
        <v>44.838816089610525</v>
      </c>
      <c r="F35" s="451"/>
      <c r="G35" s="451"/>
      <c r="H35" s="451"/>
      <c r="I35" s="451"/>
      <c r="J35" s="451"/>
      <c r="K35" s="451"/>
      <c r="T35" s="357" t="s">
        <v>356</v>
      </c>
      <c r="U35" s="348">
        <f t="shared" si="8"/>
        <v>52</v>
      </c>
      <c r="V35" s="407">
        <f t="shared" si="9"/>
        <v>-0.13771507519979764</v>
      </c>
      <c r="W35" s="407">
        <f t="shared" si="1"/>
        <v>-0.41326923076923072</v>
      </c>
      <c r="X35" s="401">
        <f t="shared" si="2"/>
        <v>-0.33323331365237219</v>
      </c>
      <c r="Y35" s="351">
        <f t="shared" si="0"/>
        <v>-2.3840810963018599E-2</v>
      </c>
      <c r="AA35" s="331">
        <f t="shared" si="3"/>
        <v>45.653473127492887</v>
      </c>
      <c r="AB35" s="331">
        <f t="shared" si="4"/>
        <v>46.428571428571423</v>
      </c>
      <c r="AD35" s="331">
        <f t="shared" si="5"/>
        <v>36.619791473472837</v>
      </c>
      <c r="AE35" s="331">
        <f t="shared" si="6"/>
        <v>38.518518518518519</v>
      </c>
      <c r="AG35" s="314">
        <f t="shared" ca="1" si="7"/>
        <v>2.8257209050524788E-2</v>
      </c>
    </row>
    <row r="36" spans="2:33" ht="16" thickBot="1" x14ac:dyDescent="0.25">
      <c r="B36" s="404" t="s">
        <v>318</v>
      </c>
      <c r="C36" s="405">
        <f>+C35/$C$8-1</f>
        <v>-0.15827264708821998</v>
      </c>
      <c r="F36" s="451"/>
      <c r="G36" s="451"/>
      <c r="H36" s="451"/>
      <c r="I36" s="451"/>
      <c r="J36" s="451"/>
      <c r="K36" s="451"/>
      <c r="U36" s="365">
        <f t="shared" si="8"/>
        <v>50</v>
      </c>
      <c r="V36" s="366">
        <f t="shared" si="9"/>
        <v>-0.10322367820778955</v>
      </c>
      <c r="W36" s="366">
        <f t="shared" si="1"/>
        <v>-0.38979999999999992</v>
      </c>
      <c r="X36" s="367">
        <f t="shared" si="2"/>
        <v>-0.2648118989425079</v>
      </c>
      <c r="Y36" s="368">
        <f t="shared" si="0"/>
        <v>-6.1385395156748679E-2</v>
      </c>
      <c r="AA36" s="331">
        <f t="shared" si="3"/>
        <v>43.897570314897003</v>
      </c>
      <c r="AB36" s="331">
        <f t="shared" si="4"/>
        <v>44.642857142857139</v>
      </c>
      <c r="AD36" s="331">
        <f t="shared" si="5"/>
        <v>35.211337955262344</v>
      </c>
      <c r="AE36" s="331">
        <f t="shared" si="6"/>
        <v>37.037037037037038</v>
      </c>
      <c r="AG36" s="314">
        <f t="shared" ca="1" si="7"/>
        <v>2.9387497412545777E-2</v>
      </c>
    </row>
    <row r="37" spans="2:33" x14ac:dyDescent="0.2">
      <c r="F37" s="451"/>
      <c r="G37" s="451"/>
      <c r="H37" s="451"/>
      <c r="I37" s="451"/>
      <c r="J37" s="451"/>
      <c r="K37" s="451"/>
      <c r="U37" s="335">
        <f t="shared" si="8"/>
        <v>48</v>
      </c>
      <c r="V37" s="329">
        <f t="shared" si="9"/>
        <v>-6.5857998133114104E-2</v>
      </c>
      <c r="W37" s="329">
        <f t="shared" si="1"/>
        <v>-0.36437499999999989</v>
      </c>
      <c r="X37" s="330">
        <f t="shared" si="2"/>
        <v>-0.18074236194336638</v>
      </c>
      <c r="Y37" s="314">
        <f t="shared" si="0"/>
        <v>-9.8929979350478758E-2</v>
      </c>
      <c r="AA37" s="331">
        <f t="shared" si="3"/>
        <v>42.141667502301125</v>
      </c>
      <c r="AB37" s="331">
        <f t="shared" si="4"/>
        <v>42.857142857142854</v>
      </c>
      <c r="AD37" s="331">
        <f t="shared" si="5"/>
        <v>33.802884437051851</v>
      </c>
      <c r="AE37" s="331">
        <f t="shared" si="6"/>
        <v>35.55555555555555</v>
      </c>
      <c r="AG37" s="314">
        <f t="shared" ca="1" si="7"/>
        <v>3.0611976471401851E-2</v>
      </c>
    </row>
    <row r="38" spans="2:33" x14ac:dyDescent="0.2">
      <c r="B38" s="409" t="s">
        <v>357</v>
      </c>
      <c r="C38" s="410"/>
      <c r="F38" s="451"/>
      <c r="G38" s="451"/>
      <c r="H38" s="451"/>
      <c r="I38" s="451"/>
      <c r="J38" s="451"/>
      <c r="K38" s="451"/>
      <c r="U38" s="335">
        <f t="shared" si="8"/>
        <v>46</v>
      </c>
      <c r="V38" s="329">
        <f t="shared" si="9"/>
        <v>-2.5243128486727717E-2</v>
      </c>
      <c r="W38" s="329">
        <f t="shared" si="1"/>
        <v>-0.33673913043478254</v>
      </c>
      <c r="X38" s="330">
        <f t="shared" si="2"/>
        <v>-7.4963454511909305E-2</v>
      </c>
      <c r="Y38" s="314">
        <f t="shared" si="0"/>
        <v>-0.13647456354420884</v>
      </c>
      <c r="AA38" s="331">
        <f t="shared" si="3"/>
        <v>40.38576468970524</v>
      </c>
      <c r="AB38" s="331">
        <f t="shared" si="4"/>
        <v>41.071428571428569</v>
      </c>
      <c r="AD38" s="331">
        <f t="shared" si="5"/>
        <v>32.394430918841358</v>
      </c>
      <c r="AE38" s="331">
        <f t="shared" si="6"/>
        <v>34.074074074074069</v>
      </c>
      <c r="AG38" s="314">
        <f t="shared" ca="1" si="7"/>
        <v>3.1942931970158454E-2</v>
      </c>
    </row>
    <row r="39" spans="2:33" x14ac:dyDescent="0.2">
      <c r="B39" t="s">
        <v>358</v>
      </c>
      <c r="C39" s="396">
        <f>P6</f>
        <v>1.35</v>
      </c>
      <c r="F39" s="451"/>
      <c r="G39" s="451"/>
      <c r="H39" s="451"/>
      <c r="I39" s="451"/>
      <c r="J39" s="451"/>
      <c r="K39" s="451"/>
      <c r="U39" s="335">
        <f t="shared" si="8"/>
        <v>44</v>
      </c>
      <c r="V39" s="329">
        <f t="shared" si="9"/>
        <v>1.9064002036602856E-2</v>
      </c>
      <c r="W39" s="329">
        <f t="shared" si="1"/>
        <v>-0.30659090909090903</v>
      </c>
      <c r="X39" s="330">
        <f t="shared" si="2"/>
        <v>6.2180584848815855E-2</v>
      </c>
      <c r="Y39" s="314">
        <f t="shared" si="0"/>
        <v>-0.17401914773793881</v>
      </c>
      <c r="AA39" s="331">
        <f t="shared" si="3"/>
        <v>38.629861877109363</v>
      </c>
      <c r="AB39" s="331">
        <f t="shared" si="4"/>
        <v>39.285714285714285</v>
      </c>
      <c r="AD39" s="331">
        <f t="shared" si="5"/>
        <v>30.985977400630865</v>
      </c>
      <c r="AE39" s="331">
        <f t="shared" si="6"/>
        <v>32.592592592592588</v>
      </c>
      <c r="AG39" s="314">
        <f t="shared" ca="1" si="7"/>
        <v>3.3394883423347475E-2</v>
      </c>
    </row>
    <row r="40" spans="2:33" x14ac:dyDescent="0.2">
      <c r="B40" t="s">
        <v>348</v>
      </c>
      <c r="C40" s="397">
        <f>Q6</f>
        <v>22.6</v>
      </c>
      <c r="F40" s="451"/>
      <c r="G40" s="451"/>
      <c r="H40" s="451"/>
      <c r="I40" s="451"/>
      <c r="J40" s="451"/>
      <c r="K40" s="451"/>
      <c r="U40" s="335">
        <f t="shared" si="8"/>
        <v>42</v>
      </c>
      <c r="V40" s="329">
        <f t="shared" si="9"/>
        <v>6.7590859276441151E-2</v>
      </c>
      <c r="W40" s="329">
        <f t="shared" si="1"/>
        <v>-0.27357142857142847</v>
      </c>
      <c r="X40" s="330">
        <f t="shared" si="2"/>
        <v>0.24706841510970665</v>
      </c>
      <c r="Y40" s="314">
        <f t="shared" si="0"/>
        <v>-0.21156373193166889</v>
      </c>
      <c r="AA40" s="331">
        <f t="shared" si="3"/>
        <v>36.873959064513485</v>
      </c>
      <c r="AB40" s="331">
        <f t="shared" si="4"/>
        <v>37.499999999999993</v>
      </c>
      <c r="AD40" s="331">
        <f t="shared" si="5"/>
        <v>29.577523882420373</v>
      </c>
      <c r="AE40" s="331">
        <f t="shared" si="6"/>
        <v>31.111111111111111</v>
      </c>
      <c r="AG40" s="314">
        <f t="shared" ca="1" si="7"/>
        <v>3.4985115967316405E-2</v>
      </c>
    </row>
    <row r="41" spans="2:33" x14ac:dyDescent="0.2">
      <c r="B41" s="352" t="s">
        <v>359</v>
      </c>
      <c r="C41" s="406">
        <f>+C39*C40</f>
        <v>30.510000000000005</v>
      </c>
      <c r="F41" s="451"/>
      <c r="G41" s="451"/>
      <c r="H41" s="451"/>
      <c r="I41" s="451"/>
      <c r="J41" s="451"/>
      <c r="K41" s="451"/>
      <c r="U41" s="335">
        <f t="shared" si="8"/>
        <v>40</v>
      </c>
      <c r="V41" s="329">
        <f t="shared" si="9"/>
        <v>0.12097040224026312</v>
      </c>
      <c r="W41" s="329">
        <f t="shared" si="1"/>
        <v>-0.23724999999999985</v>
      </c>
      <c r="X41" s="330">
        <f t="shared" si="2"/>
        <v>0.50988578394209982</v>
      </c>
      <c r="Y41" s="314">
        <f t="shared" si="0"/>
        <v>-0.24910831612539897</v>
      </c>
      <c r="AA41" s="331">
        <f t="shared" si="3"/>
        <v>35.118056251917601</v>
      </c>
      <c r="AB41" s="331">
        <f t="shared" si="4"/>
        <v>35.714285714285708</v>
      </c>
      <c r="AD41" s="331">
        <f t="shared" si="5"/>
        <v>28.169070364209876</v>
      </c>
      <c r="AE41" s="331">
        <f t="shared" si="6"/>
        <v>29.629629629629626</v>
      </c>
      <c r="AG41" s="314">
        <f t="shared" ca="1" si="7"/>
        <v>3.6734371765682221E-2</v>
      </c>
    </row>
    <row r="42" spans="2:33" x14ac:dyDescent="0.2">
      <c r="B42" s="404" t="s">
        <v>318</v>
      </c>
      <c r="C42" s="405">
        <f>+C41/$C$8-1</f>
        <v>-0.42725736812464798</v>
      </c>
      <c r="F42" s="222"/>
      <c r="G42" s="222"/>
      <c r="H42" s="222"/>
      <c r="I42" s="222"/>
      <c r="J42" s="222"/>
      <c r="K42" s="222"/>
      <c r="U42" s="335">
        <f t="shared" si="8"/>
        <v>38</v>
      </c>
      <c r="V42" s="329">
        <f t="shared" si="9"/>
        <v>0.17996884446343486</v>
      </c>
      <c r="W42" s="329">
        <f t="shared" si="1"/>
        <v>-0.19710526315789456</v>
      </c>
      <c r="X42" s="330">
        <f t="shared" si="2"/>
        <v>0.91305955802543803</v>
      </c>
      <c r="Y42" s="314">
        <f t="shared" si="0"/>
        <v>-0.28665290031912904</v>
      </c>
      <c r="AA42" s="331">
        <f t="shared" si="3"/>
        <v>33.362153439321723</v>
      </c>
      <c r="AB42" s="331">
        <f t="shared" si="4"/>
        <v>33.928571428571423</v>
      </c>
      <c r="AD42" s="331">
        <f t="shared" si="5"/>
        <v>26.760616845999383</v>
      </c>
      <c r="AE42" s="331">
        <f t="shared" si="6"/>
        <v>28.148148148148145</v>
      </c>
      <c r="AG42" s="314">
        <f t="shared" ca="1" si="7"/>
        <v>3.8667759753349705E-2</v>
      </c>
    </row>
    <row r="43" spans="2:33" x14ac:dyDescent="0.2">
      <c r="F43" s="222"/>
      <c r="G43" s="222"/>
      <c r="H43" s="222"/>
      <c r="I43" s="222"/>
      <c r="J43" s="222"/>
      <c r="K43" s="222"/>
      <c r="U43" s="335">
        <f t="shared" si="8"/>
        <v>36</v>
      </c>
      <c r="V43" s="329">
        <f t="shared" si="9"/>
        <v>0.24552266915584786</v>
      </c>
      <c r="W43" s="329">
        <f t="shared" si="1"/>
        <v>-0.15249999999999986</v>
      </c>
      <c r="X43" s="330">
        <f t="shared" si="2"/>
        <v>1.609984715776053</v>
      </c>
      <c r="Y43" s="314">
        <f t="shared" si="0"/>
        <v>-0.32419748451285901</v>
      </c>
      <c r="AA43" s="331">
        <f t="shared" si="3"/>
        <v>31.606250626725842</v>
      </c>
      <c r="AB43" s="331">
        <f t="shared" si="4"/>
        <v>32.142857142857139</v>
      </c>
      <c r="AD43" s="331">
        <f t="shared" si="5"/>
        <v>25.35216332778889</v>
      </c>
      <c r="AE43" s="331">
        <f t="shared" si="6"/>
        <v>26.666666666666664</v>
      </c>
      <c r="AG43" s="314">
        <f t="shared" ca="1" si="7"/>
        <v>4.0815968628535801E-2</v>
      </c>
    </row>
    <row r="44" spans="2:33" x14ac:dyDescent="0.2">
      <c r="F44" s="222"/>
      <c r="G44" s="222"/>
      <c r="H44" s="222"/>
      <c r="I44" s="222"/>
      <c r="J44" s="222"/>
      <c r="K44" s="222"/>
      <c r="U44" s="335">
        <f t="shared" si="8"/>
        <v>34</v>
      </c>
      <c r="V44" s="329">
        <f t="shared" si="9"/>
        <v>0.3187887085179566</v>
      </c>
      <c r="W44" s="329">
        <f t="shared" si="1"/>
        <v>-0.10264705882352931</v>
      </c>
      <c r="X44" s="330">
        <f t="shared" si="2"/>
        <v>3.1056779626391218</v>
      </c>
      <c r="Y44" s="314">
        <f t="shared" si="0"/>
        <v>-0.36174206870658909</v>
      </c>
      <c r="AA44" s="331">
        <f t="shared" si="3"/>
        <v>29.850347814129961</v>
      </c>
      <c r="AB44" s="331">
        <f t="shared" si="4"/>
        <v>30.357142857142854</v>
      </c>
      <c r="AD44" s="331">
        <f t="shared" si="5"/>
        <v>23.943709809578397</v>
      </c>
      <c r="AE44" s="331">
        <f t="shared" si="6"/>
        <v>25.185185185185183</v>
      </c>
      <c r="AG44" s="314">
        <f t="shared" ca="1" si="7"/>
        <v>4.3216907959626141E-2</v>
      </c>
    </row>
    <row r="45" spans="2:33" x14ac:dyDescent="0.2">
      <c r="F45" s="222"/>
      <c r="G45" s="222"/>
      <c r="H45" s="222"/>
      <c r="I45" s="222"/>
      <c r="J45" s="222"/>
      <c r="K45" s="222"/>
      <c r="U45" s="335">
        <f t="shared" si="8"/>
        <v>32</v>
      </c>
      <c r="V45" s="329">
        <f t="shared" si="9"/>
        <v>0.4012130028003289</v>
      </c>
      <c r="W45" s="329">
        <f t="shared" si="1"/>
        <v>-4.656249999999984E-2</v>
      </c>
      <c r="X45" s="330">
        <f t="shared" si="2"/>
        <v>8.6166550936983679</v>
      </c>
      <c r="Y45" s="314">
        <f t="shared" si="0"/>
        <v>-0.39928665290031917</v>
      </c>
      <c r="AA45" s="331">
        <f t="shared" si="3"/>
        <v>28.094445001534083</v>
      </c>
      <c r="AB45" s="331">
        <f t="shared" si="4"/>
        <v>28.571428571428569</v>
      </c>
      <c r="AD45" s="331">
        <f t="shared" si="5"/>
        <v>22.535256291367901</v>
      </c>
      <c r="AE45" s="331">
        <f t="shared" si="6"/>
        <v>23.703703703703702</v>
      </c>
      <c r="AG45" s="314">
        <f t="shared" ca="1" si="7"/>
        <v>4.5917964707102778E-2</v>
      </c>
    </row>
    <row r="46" spans="2:33" x14ac:dyDescent="0.2">
      <c r="F46" s="222"/>
      <c r="G46" s="222"/>
      <c r="H46" s="222"/>
      <c r="I46" s="222"/>
      <c r="J46" s="222"/>
      <c r="K46" s="222"/>
      <c r="U46" s="335">
        <f t="shared" si="8"/>
        <v>30</v>
      </c>
      <c r="V46" s="329">
        <f t="shared" si="9"/>
        <v>0.49462720298701757</v>
      </c>
      <c r="W46" s="329">
        <f t="shared" si="1"/>
        <v>1.7000000000000126E-2</v>
      </c>
      <c r="X46" s="330">
        <f t="shared" si="2"/>
        <v>-29.095717822765522</v>
      </c>
      <c r="Y46" s="314">
        <f t="shared" si="0"/>
        <v>-0.43683123709404925</v>
      </c>
      <c r="AA46" s="331">
        <f t="shared" si="3"/>
        <v>26.338542188938202</v>
      </c>
      <c r="AB46" s="331">
        <f t="shared" si="4"/>
        <v>26.785714285714285</v>
      </c>
      <c r="AD46" s="331">
        <f t="shared" si="5"/>
        <v>21.126802773157408</v>
      </c>
      <c r="AE46" s="331">
        <f t="shared" si="6"/>
        <v>22.222222222222221</v>
      </c>
      <c r="AG46" s="314">
        <f t="shared" ca="1" si="7"/>
        <v>4.8979162354242961E-2</v>
      </c>
    </row>
    <row r="47" spans="2:33" x14ac:dyDescent="0.2">
      <c r="F47" s="222"/>
      <c r="H47" s="222"/>
      <c r="I47" s="222"/>
      <c r="J47" s="222"/>
      <c r="K47" s="222"/>
      <c r="U47" s="335">
        <f t="shared" si="8"/>
        <v>28</v>
      </c>
      <c r="V47" s="329">
        <f t="shared" si="9"/>
        <v>0.6013862889146615</v>
      </c>
      <c r="W47" s="329">
        <f t="shared" si="1"/>
        <v>8.9642857142857357E-2</v>
      </c>
      <c r="X47" s="330">
        <f t="shared" si="2"/>
        <v>-6.7086916691675222</v>
      </c>
      <c r="Y47" s="314">
        <f t="shared" si="0"/>
        <v>-0.47437582128777922</v>
      </c>
      <c r="AA47" s="331">
        <f t="shared" si="3"/>
        <v>24.582639376342321</v>
      </c>
      <c r="AB47" s="331">
        <f t="shared" si="4"/>
        <v>24.999999999999996</v>
      </c>
      <c r="AD47" s="331">
        <f t="shared" si="5"/>
        <v>19.718349254946915</v>
      </c>
      <c r="AE47" s="331">
        <f t="shared" si="6"/>
        <v>20.74074074074074</v>
      </c>
      <c r="AG47" s="314">
        <f t="shared" ca="1" si="7"/>
        <v>5.24776739509746E-2</v>
      </c>
    </row>
    <row r="48" spans="2:33" x14ac:dyDescent="0.2">
      <c r="U48" s="335">
        <f t="shared" si="8"/>
        <v>26</v>
      </c>
      <c r="V48" s="329">
        <f t="shared" si="9"/>
        <v>0.72456984960040471</v>
      </c>
      <c r="W48" s="329">
        <f t="shared" si="1"/>
        <v>0.17346153846153856</v>
      </c>
      <c r="X48" s="330">
        <f t="shared" si="2"/>
        <v>-4.177121084170845</v>
      </c>
      <c r="Y48" s="314">
        <f t="shared" si="0"/>
        <v>-0.5119204054815093</v>
      </c>
      <c r="AA48" s="331">
        <f t="shared" si="3"/>
        <v>22.826736563746444</v>
      </c>
      <c r="AB48" s="331">
        <f t="shared" si="4"/>
        <v>23.214285714285712</v>
      </c>
      <c r="AD48" s="331">
        <f t="shared" si="5"/>
        <v>18.309895736736419</v>
      </c>
      <c r="AE48" s="331">
        <f t="shared" si="6"/>
        <v>19.25925925925926</v>
      </c>
      <c r="AG48" s="314">
        <f t="shared" ca="1" si="7"/>
        <v>5.6514418101049575E-2</v>
      </c>
    </row>
    <row r="52" spans="4:18" x14ac:dyDescent="0.2">
      <c r="D52" t="s">
        <v>366</v>
      </c>
      <c r="E52" s="316" t="s">
        <v>20</v>
      </c>
      <c r="F52" s="316" t="s">
        <v>20</v>
      </c>
      <c r="G52" s="316" t="s">
        <v>19</v>
      </c>
      <c r="H52" s="316" t="s">
        <v>18</v>
      </c>
      <c r="I52" s="316" t="s">
        <v>17</v>
      </c>
      <c r="J52" s="316" t="s">
        <v>16</v>
      </c>
      <c r="K52" s="316" t="s">
        <v>15</v>
      </c>
      <c r="L52" s="316" t="s">
        <v>14</v>
      </c>
      <c r="M52" s="316" t="s">
        <v>13</v>
      </c>
      <c r="N52" s="316" t="s">
        <v>11</v>
      </c>
      <c r="O52" s="316" t="s">
        <v>10</v>
      </c>
      <c r="P52" s="316" t="s">
        <v>9</v>
      </c>
      <c r="Q52" s="316" t="s">
        <v>364</v>
      </c>
      <c r="R52" s="316" t="s">
        <v>4</v>
      </c>
    </row>
    <row r="53" spans="4:18" x14ac:dyDescent="0.2">
      <c r="D53" t="s">
        <v>365</v>
      </c>
      <c r="F53">
        <v>86272</v>
      </c>
      <c r="G53">
        <v>87964</v>
      </c>
      <c r="H53">
        <v>86169</v>
      </c>
      <c r="I53">
        <v>130779</v>
      </c>
      <c r="J53">
        <v>104402</v>
      </c>
      <c r="K53">
        <v>103065</v>
      </c>
      <c r="L53">
        <v>101307</v>
      </c>
      <c r="M53">
        <v>145014</v>
      </c>
      <c r="N53">
        <v>118684</v>
      </c>
      <c r="O53">
        <v>118036</v>
      </c>
      <c r="P53">
        <v>115244</v>
      </c>
      <c r="Q53">
        <v>164930</v>
      </c>
      <c r="R53">
        <v>139993</v>
      </c>
    </row>
    <row r="54" spans="4:18" x14ac:dyDescent="0.2">
      <c r="D54" s="433" t="s">
        <v>363</v>
      </c>
      <c r="F54">
        <v>23925</v>
      </c>
      <c r="G54">
        <v>25052</v>
      </c>
      <c r="H54">
        <v>34254</v>
      </c>
      <c r="I54">
        <v>25572</v>
      </c>
      <c r="J54">
        <v>28019</v>
      </c>
      <c r="K54">
        <v>29381</v>
      </c>
      <c r="L54">
        <v>31811</v>
      </c>
      <c r="M54">
        <v>38057</v>
      </c>
      <c r="N54">
        <v>39214</v>
      </c>
      <c r="O54">
        <v>40923</v>
      </c>
      <c r="P54">
        <v>41076</v>
      </c>
      <c r="Q54">
        <v>44750</v>
      </c>
      <c r="R54">
        <v>47324</v>
      </c>
    </row>
  </sheetData>
  <mergeCells count="12">
    <mergeCell ref="F24:K24"/>
    <mergeCell ref="F25:K41"/>
    <mergeCell ref="AA2:AB2"/>
    <mergeCell ref="AD2:AE2"/>
    <mergeCell ref="P2:S2"/>
    <mergeCell ref="U2:Y2"/>
    <mergeCell ref="G2:L2"/>
    <mergeCell ref="B7:C7"/>
    <mergeCell ref="P9:S9"/>
    <mergeCell ref="P10:R10"/>
    <mergeCell ref="P11:R11"/>
    <mergeCell ref="P12:R12"/>
  </mergeCells>
  <conditionalFormatting sqref="Y4:Y48">
    <cfRule type="colorScale" priority="1">
      <colorScale>
        <cfvo type="min"/>
        <cfvo type="percentile" val="50"/>
        <cfvo type="max"/>
        <color rgb="FFF8696B"/>
        <color rgb="FFFCFCFF"/>
        <color rgb="FF63BE7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7241C-DD34-4BE9-A103-BACCDF617A5A}">
  <dimension ref="B2:BD52"/>
  <sheetViews>
    <sheetView zoomScale="84" zoomScaleNormal="80" workbookViewId="0">
      <selection activeCell="C35" sqref="C35"/>
    </sheetView>
  </sheetViews>
  <sheetFormatPr baseColWidth="10" defaultColWidth="8.83203125" defaultRowHeight="15" x14ac:dyDescent="0.2"/>
  <cols>
    <col min="2" max="2" width="32.1640625" bestFit="1" customWidth="1"/>
    <col min="3" max="3" width="13.1640625" bestFit="1" customWidth="1"/>
    <col min="4" max="5" width="16" bestFit="1" customWidth="1"/>
    <col min="6" max="6" width="11.6640625" bestFit="1" customWidth="1"/>
    <col min="7" max="8" width="10.5" bestFit="1" customWidth="1"/>
    <col min="9" max="9" width="12.83203125" customWidth="1"/>
    <col min="10" max="10" width="10.5" customWidth="1"/>
    <col min="16" max="16" width="31.5" bestFit="1" customWidth="1"/>
  </cols>
  <sheetData>
    <row r="2" spans="2:56" ht="16" x14ac:dyDescent="0.2">
      <c r="B2" s="237" t="s">
        <v>205</v>
      </c>
      <c r="C2" s="238">
        <v>2019</v>
      </c>
      <c r="D2" s="238">
        <f>C2+1</f>
        <v>2020</v>
      </c>
      <c r="E2" s="238">
        <f t="shared" ref="E2:J2" si="0">D2+1</f>
        <v>2021</v>
      </c>
      <c r="F2" s="238">
        <f t="shared" si="0"/>
        <v>2022</v>
      </c>
      <c r="G2" s="238">
        <f t="shared" si="0"/>
        <v>2023</v>
      </c>
      <c r="H2" s="238">
        <f t="shared" si="0"/>
        <v>2024</v>
      </c>
      <c r="I2" s="238">
        <f t="shared" si="0"/>
        <v>2025</v>
      </c>
      <c r="J2" s="239">
        <f t="shared" si="0"/>
        <v>2026</v>
      </c>
    </row>
    <row r="3" spans="2:56" x14ac:dyDescent="0.2">
      <c r="B3" s="5" t="s">
        <v>51</v>
      </c>
      <c r="C3" s="96">
        <v>1847916</v>
      </c>
      <c r="D3" s="96">
        <v>1932766</v>
      </c>
      <c r="E3" s="96">
        <v>2308631</v>
      </c>
      <c r="F3" s="96">
        <v>2602245</v>
      </c>
      <c r="G3" s="96">
        <v>2912564</v>
      </c>
      <c r="H3" s="96">
        <f>G3*(1+$F$42)</f>
        <v>2922749.3023266508</v>
      </c>
      <c r="I3" s="96">
        <f>H3*(1+$F$42)</f>
        <v>2932970.2228864068</v>
      </c>
      <c r="J3" s="191">
        <f>I3*(1+$F$42)</f>
        <v>2943226.886237036</v>
      </c>
    </row>
    <row r="4" spans="2:56" x14ac:dyDescent="0.2">
      <c r="B4" s="192" t="s">
        <v>225</v>
      </c>
      <c r="C4" s="193">
        <f>C3/C$23</f>
        <v>0.39683317882334901</v>
      </c>
      <c r="D4" s="193">
        <f>D3/D$23</f>
        <v>0.3729705811577459</v>
      </c>
      <c r="E4" s="193">
        <f>E3/E$23</f>
        <v>0.37879265441549381</v>
      </c>
      <c r="F4" s="193">
        <f>F3/F$23</f>
        <v>0.37937145438808495</v>
      </c>
      <c r="G4" s="193">
        <f>G3/G$23</f>
        <v>0.38298261224825775</v>
      </c>
      <c r="H4" s="234"/>
      <c r="I4" s="234"/>
      <c r="J4" s="235"/>
    </row>
    <row r="5" spans="2:56" x14ac:dyDescent="0.2">
      <c r="B5" s="192" t="s">
        <v>253</v>
      </c>
      <c r="C5" s="193" t="s">
        <v>132</v>
      </c>
      <c r="D5" s="193">
        <f>D3/C3-1</f>
        <v>4.5916589282196885E-2</v>
      </c>
      <c r="E5" s="193">
        <f t="shared" ref="E5:F5" si="1">E3/D3-1</f>
        <v>0.19446999792007924</v>
      </c>
      <c r="F5" s="193">
        <f t="shared" si="1"/>
        <v>0.12718100034176105</v>
      </c>
      <c r="G5" s="193">
        <f>G3/F3-1</f>
        <v>0.1192504933240337</v>
      </c>
      <c r="H5" s="234"/>
      <c r="I5" s="234"/>
      <c r="J5" s="235"/>
    </row>
    <row r="6" spans="2:56" x14ac:dyDescent="0.2">
      <c r="B6" s="192" t="s">
        <v>226</v>
      </c>
      <c r="C6" s="196">
        <f>C3/C$26</f>
        <v>704.77345537757435</v>
      </c>
      <c r="D6" s="196">
        <f t="shared" ref="D6:G6" si="2">D3/D$26</f>
        <v>698.25361271676297</v>
      </c>
      <c r="E6" s="196">
        <f t="shared" si="2"/>
        <v>778.36513823331086</v>
      </c>
      <c r="F6" s="196">
        <f>F3/F$26</f>
        <v>816.51866959523068</v>
      </c>
      <c r="G6" s="196">
        <f t="shared" si="2"/>
        <v>847.41460576083796</v>
      </c>
      <c r="H6" s="234"/>
      <c r="I6" s="234"/>
      <c r="J6" s="235"/>
    </row>
    <row r="7" spans="2:56" x14ac:dyDescent="0.2">
      <c r="B7" s="5" t="s">
        <v>50</v>
      </c>
      <c r="C7" s="96">
        <v>1472060</v>
      </c>
      <c r="D7" s="96">
        <v>1593013</v>
      </c>
      <c r="E7" s="96">
        <v>1917761</v>
      </c>
      <c r="F7" s="96">
        <v>2197958</v>
      </c>
      <c r="G7" s="96">
        <v>2440982</v>
      </c>
      <c r="H7" s="241">
        <f>G7*(1+H9)</f>
        <v>2662057.0575183327</v>
      </c>
      <c r="I7" s="241">
        <f t="shared" ref="I7" si="3">H7*(1+I9)</f>
        <v>2863223.6030734912</v>
      </c>
      <c r="J7" s="242">
        <f>I7*(1+J9)</f>
        <v>3050959.6825736198</v>
      </c>
    </row>
    <row r="8" spans="2:56" ht="15" customHeight="1" x14ac:dyDescent="0.2">
      <c r="B8" s="192" t="s">
        <v>225</v>
      </c>
      <c r="C8" s="193">
        <f>C7/C$23</f>
        <v>0.31611948228095821</v>
      </c>
      <c r="D8" s="193">
        <f>D7/D$23</f>
        <v>0.30740761395939514</v>
      </c>
      <c r="E8" s="193">
        <f>E7/E$23</f>
        <v>0.3146599780235611</v>
      </c>
      <c r="F8" s="193">
        <f>F7/F$23</f>
        <v>0.32043198205546614</v>
      </c>
      <c r="G8" s="193">
        <f>G7/G$23</f>
        <v>0.32097274525503189</v>
      </c>
      <c r="H8" s="243"/>
      <c r="I8" s="243"/>
      <c r="J8" s="244"/>
    </row>
    <row r="9" spans="2:56" ht="15" customHeight="1" x14ac:dyDescent="0.2">
      <c r="B9" s="192" t="s">
        <v>253</v>
      </c>
      <c r="C9" s="193" t="s">
        <v>132</v>
      </c>
      <c r="D9" s="193">
        <f>D7/C7-1</f>
        <v>8.2165808458894318E-2</v>
      </c>
      <c r="E9" s="193">
        <f t="shared" ref="E9:F9" si="4">E7/D7-1</f>
        <v>0.20385772118620493</v>
      </c>
      <c r="F9" s="193">
        <f t="shared" si="4"/>
        <v>0.14610631877486302</v>
      </c>
      <c r="G9" s="193">
        <f>G7/F7-1</f>
        <v>0.11056808182867917</v>
      </c>
      <c r="H9" s="245">
        <f>G9-2%</f>
        <v>9.0568081828679162E-2</v>
      </c>
      <c r="I9" s="245">
        <f>H9-1.5%</f>
        <v>7.5568081828679162E-2</v>
      </c>
      <c r="J9" s="246">
        <f>I9-1%</f>
        <v>6.5568081828679167E-2</v>
      </c>
    </row>
    <row r="10" spans="2:56" ht="15" customHeight="1" x14ac:dyDescent="0.2">
      <c r="B10" s="192" t="s">
        <v>226</v>
      </c>
      <c r="C10" s="196">
        <f>C7/C$26</f>
        <v>561.42639206712431</v>
      </c>
      <c r="D10" s="196">
        <f t="shared" ref="D10:G10" si="5">D7/D$26</f>
        <v>575.51047687861274</v>
      </c>
      <c r="E10" s="196">
        <f t="shared" si="5"/>
        <v>646.58159136884694</v>
      </c>
      <c r="F10" s="196">
        <f>F7/F$26</f>
        <v>689.66363351113898</v>
      </c>
      <c r="G10" s="196">
        <f t="shared" si="5"/>
        <v>710.20715740471337</v>
      </c>
      <c r="H10" s="247"/>
      <c r="I10" s="247"/>
      <c r="J10" s="248"/>
    </row>
    <row r="11" spans="2:56" x14ac:dyDescent="0.2">
      <c r="B11" s="5" t="s">
        <v>49</v>
      </c>
      <c r="C11" s="96">
        <v>363072</v>
      </c>
      <c r="D11" s="96">
        <v>387762</v>
      </c>
      <c r="E11" s="96">
        <v>416606</v>
      </c>
      <c r="F11" s="96">
        <v>460425</v>
      </c>
      <c r="G11" s="96">
        <v>503264</v>
      </c>
      <c r="H11" s="241">
        <f>G11*(1+H13)</f>
        <v>548995.43978094542</v>
      </c>
      <c r="I11" s="241">
        <f>H11*(1+I13)</f>
        <v>598882.48096480907</v>
      </c>
      <c r="J11" s="242">
        <f>I11*(1+J13)</f>
        <v>653302.74173073983</v>
      </c>
    </row>
    <row r="12" spans="2:56" x14ac:dyDescent="0.2">
      <c r="B12" s="192" t="s">
        <v>225</v>
      </c>
      <c r="C12" s="193">
        <f>C11/C$23</f>
        <v>7.7968379461918716E-2</v>
      </c>
      <c r="D12" s="193">
        <f>D11/D$23</f>
        <v>7.4827381323393449E-2</v>
      </c>
      <c r="E12" s="193">
        <f>E11/E$23</f>
        <v>6.835535544026794E-2</v>
      </c>
      <c r="F12" s="193">
        <f>F11/F$23</f>
        <v>6.7123618985389155E-2</v>
      </c>
      <c r="G12" s="193">
        <f>G11/G$23</f>
        <v>6.6175837293363238E-2</v>
      </c>
      <c r="H12" s="247"/>
      <c r="I12" s="247"/>
      <c r="J12" s="248"/>
      <c r="AW12" s="222"/>
      <c r="AX12" s="222"/>
      <c r="AY12" s="222"/>
      <c r="AZ12" s="222"/>
      <c r="BA12" s="222"/>
      <c r="BB12" s="222"/>
      <c r="BC12" s="222"/>
      <c r="BD12" s="222"/>
    </row>
    <row r="13" spans="2:56" x14ac:dyDescent="0.2">
      <c r="B13" s="192" t="s">
        <v>253</v>
      </c>
      <c r="C13" s="193" t="s">
        <v>132</v>
      </c>
      <c r="D13" s="193">
        <f>D11/C11-1</f>
        <v>6.8003040719196273E-2</v>
      </c>
      <c r="E13" s="193">
        <f t="shared" ref="E13:F13" si="6">E11/D11-1</f>
        <v>7.4385834609889567E-2</v>
      </c>
      <c r="F13" s="193">
        <f t="shared" si="6"/>
        <v>0.10518091434112797</v>
      </c>
      <c r="G13" s="193">
        <f>G11/F11-1</f>
        <v>9.304229787696161E-2</v>
      </c>
      <c r="H13" s="245">
        <f>AVERAGE(E13:G13)</f>
        <v>9.0869682275993055E-2</v>
      </c>
      <c r="I13" s="245">
        <f>H13</f>
        <v>9.0869682275993055E-2</v>
      </c>
      <c r="J13" s="246">
        <f>I13</f>
        <v>9.0869682275993055E-2</v>
      </c>
      <c r="AW13" s="222"/>
      <c r="AX13" s="222"/>
      <c r="AY13" s="222"/>
      <c r="AZ13" s="222"/>
      <c r="BA13" s="222"/>
      <c r="BB13" s="222"/>
      <c r="BC13" s="222"/>
      <c r="BD13" s="222"/>
    </row>
    <row r="14" spans="2:56" x14ac:dyDescent="0.2">
      <c r="B14" s="192" t="s">
        <v>226</v>
      </c>
      <c r="C14" s="196">
        <f>C11/C$26</f>
        <v>138.47139588100686</v>
      </c>
      <c r="D14" s="196">
        <f t="shared" ref="D14:G14" si="7">D11/D$26</f>
        <v>140.08742774566474</v>
      </c>
      <c r="E14" s="196">
        <f t="shared" si="7"/>
        <v>140.46055293324343</v>
      </c>
      <c r="F14" s="196">
        <f>F11/F$26</f>
        <v>144.46972074050831</v>
      </c>
      <c r="G14" s="196">
        <f t="shared" si="7"/>
        <v>146.42537096304918</v>
      </c>
      <c r="H14" s="247"/>
      <c r="I14" s="247"/>
      <c r="J14" s="248"/>
      <c r="AW14" s="222"/>
      <c r="AX14" s="222"/>
      <c r="AY14" s="222"/>
      <c r="AZ14" s="222"/>
      <c r="BA14" s="222"/>
      <c r="BB14" s="222"/>
      <c r="BC14" s="222"/>
      <c r="BD14" s="222"/>
    </row>
    <row r="15" spans="2:56" x14ac:dyDescent="0.2">
      <c r="B15" s="5" t="s">
        <v>48</v>
      </c>
      <c r="C15" s="96">
        <v>760831</v>
      </c>
      <c r="D15" s="96">
        <v>1030012</v>
      </c>
      <c r="E15" s="96">
        <v>1197054</v>
      </c>
      <c r="F15" s="96">
        <v>1311905</v>
      </c>
      <c r="G15" s="96">
        <v>1428747</v>
      </c>
      <c r="H15" s="241">
        <f>G15*(1+H17)</f>
        <v>1555995.2816774079</v>
      </c>
      <c r="I15" s="241">
        <f>H15*(1+I17)</f>
        <v>1694576.6581503625</v>
      </c>
      <c r="J15" s="242">
        <f>I15*(1+J17)</f>
        <v>1845500.4871559723</v>
      </c>
      <c r="AW15" s="222"/>
      <c r="AX15" s="222"/>
      <c r="AY15" s="222"/>
      <c r="AZ15" s="222"/>
      <c r="BA15" s="222"/>
      <c r="BB15" s="222"/>
      <c r="BC15" s="222"/>
      <c r="BD15" s="222"/>
    </row>
    <row r="16" spans="2:56" x14ac:dyDescent="0.2">
      <c r="B16" s="192" t="s">
        <v>225</v>
      </c>
      <c r="C16" s="193">
        <f>C15/C$23</f>
        <v>0.16338566486644818</v>
      </c>
      <c r="D16" s="193">
        <f>D15/D$23</f>
        <v>0.1987639342990575</v>
      </c>
      <c r="E16" s="193">
        <f>E15/E$23</f>
        <v>0.19640872107265497</v>
      </c>
      <c r="F16" s="193">
        <f>F15/F$23</f>
        <v>0.19125766707938743</v>
      </c>
      <c r="G16" s="193">
        <f>G15/G$23</f>
        <v>0.18787063848274629</v>
      </c>
      <c r="H16" s="247"/>
      <c r="I16" s="247"/>
      <c r="J16" s="248"/>
      <c r="AW16" s="222"/>
      <c r="AX16" s="222"/>
      <c r="AY16" s="222"/>
      <c r="AZ16" s="222"/>
      <c r="BA16" s="222"/>
      <c r="BB16" s="222"/>
      <c r="BC16" s="222"/>
      <c r="BD16" s="222"/>
    </row>
    <row r="17" spans="2:56" x14ac:dyDescent="0.2">
      <c r="B17" s="192" t="s">
        <v>253</v>
      </c>
      <c r="C17" s="193" t="s">
        <v>132</v>
      </c>
      <c r="D17" s="193">
        <f>D15/C15-1</f>
        <v>0.35379867539571852</v>
      </c>
      <c r="E17" s="193">
        <f t="shared" ref="E17:F17" si="8">E15/D15-1</f>
        <v>0.16217480961386865</v>
      </c>
      <c r="F17" s="193">
        <f t="shared" si="8"/>
        <v>9.5944710932004629E-2</v>
      </c>
      <c r="G17" s="193">
        <f>G15/F15-1</f>
        <v>8.9062851349754668E-2</v>
      </c>
      <c r="H17" s="245">
        <f>G17</f>
        <v>8.9062851349754668E-2</v>
      </c>
      <c r="I17" s="245">
        <f>H17</f>
        <v>8.9062851349754668E-2</v>
      </c>
      <c r="J17" s="246">
        <f>I17</f>
        <v>8.9062851349754668E-2</v>
      </c>
      <c r="AW17" s="222"/>
      <c r="AX17" s="222"/>
      <c r="AY17" s="222"/>
      <c r="AZ17" s="222"/>
      <c r="BA17" s="222"/>
      <c r="BB17" s="222"/>
      <c r="BC17" s="222"/>
      <c r="BD17" s="222"/>
    </row>
    <row r="18" spans="2:56" x14ac:dyDescent="0.2">
      <c r="B18" s="192" t="s">
        <v>226</v>
      </c>
      <c r="C18" s="196">
        <f>C15/C$26</f>
        <v>290.17200610221204</v>
      </c>
      <c r="D18" s="196">
        <f t="shared" ref="D18:G18" si="9">D15/D$26</f>
        <v>372.11416184971097</v>
      </c>
      <c r="E18" s="196">
        <f t="shared" si="9"/>
        <v>403.59204315576534</v>
      </c>
      <c r="F18" s="196">
        <f>F15/F$26</f>
        <v>411.64261060558516</v>
      </c>
      <c r="G18" s="196">
        <f t="shared" si="9"/>
        <v>415.69595577538553</v>
      </c>
      <c r="H18" s="247"/>
      <c r="I18" s="247"/>
      <c r="J18" s="248"/>
      <c r="AW18" s="222"/>
      <c r="AX18" s="222"/>
      <c r="AY18" s="222"/>
      <c r="AZ18" s="222"/>
      <c r="BA18" s="222"/>
      <c r="BB18" s="222"/>
      <c r="BC18" s="222"/>
      <c r="BD18" s="222"/>
    </row>
    <row r="19" spans="2:56" x14ac:dyDescent="0.2">
      <c r="B19" s="5" t="s">
        <v>46</v>
      </c>
      <c r="C19" s="96">
        <v>212778</v>
      </c>
      <c r="D19" s="96">
        <v>238534</v>
      </c>
      <c r="E19" s="96">
        <v>254657</v>
      </c>
      <c r="F19" s="96">
        <v>286826</v>
      </c>
      <c r="G19" s="96">
        <v>319394</v>
      </c>
      <c r="H19" s="241">
        <f>G19*(1+H21)</f>
        <v>352127.74256189587</v>
      </c>
      <c r="I19" s="241">
        <f>H19*(1+I21)</f>
        <v>388216.26919020648</v>
      </c>
      <c r="J19" s="242">
        <f>I19*(1+J21)</f>
        <v>428003.40174126223</v>
      </c>
      <c r="O19" s="212"/>
      <c r="P19" s="213"/>
      <c r="Q19" s="213"/>
      <c r="R19" s="213"/>
      <c r="S19" s="213">
        <v>2024</v>
      </c>
      <c r="T19" s="213"/>
      <c r="U19" s="213"/>
      <c r="V19" s="214"/>
      <c r="W19" s="215"/>
      <c r="AW19" s="222"/>
      <c r="AX19" s="222"/>
      <c r="AY19" s="222"/>
      <c r="AZ19" s="222"/>
      <c r="BA19" s="222"/>
      <c r="BB19" s="222"/>
      <c r="BC19" s="222"/>
      <c r="BD19" s="222"/>
    </row>
    <row r="20" spans="2:56" ht="16" x14ac:dyDescent="0.2">
      <c r="B20" s="192" t="s">
        <v>225</v>
      </c>
      <c r="C20" s="193">
        <f>C19/C$23</f>
        <v>4.5693294567325876E-2</v>
      </c>
      <c r="D20" s="193">
        <f>D19/D$23</f>
        <v>4.6030489260408015E-2</v>
      </c>
      <c r="E20" s="193">
        <f>E19/E$23</f>
        <v>4.1783291048022142E-2</v>
      </c>
      <c r="F20" s="193">
        <f>F19/F$23</f>
        <v>4.1815277491672326E-2</v>
      </c>
      <c r="G20" s="193">
        <f>G19/G$23</f>
        <v>4.1998166720600832E-2</v>
      </c>
      <c r="H20" s="247"/>
      <c r="I20" s="247"/>
      <c r="J20" s="248"/>
      <c r="O20" s="216"/>
      <c r="P20" s="210"/>
      <c r="Q20" s="210" t="s">
        <v>243</v>
      </c>
      <c r="R20" s="210" t="s">
        <v>249</v>
      </c>
      <c r="S20" s="210" t="s">
        <v>248</v>
      </c>
      <c r="T20" s="210" t="s">
        <v>247</v>
      </c>
      <c r="U20" s="210" t="s">
        <v>244</v>
      </c>
      <c r="V20" s="209" t="s">
        <v>245</v>
      </c>
      <c r="W20" s="217" t="s">
        <v>246</v>
      </c>
      <c r="AW20" s="222"/>
      <c r="AX20" s="222"/>
      <c r="AY20" s="222"/>
      <c r="AZ20" s="222"/>
      <c r="BA20" s="222"/>
      <c r="BB20" s="222"/>
      <c r="BC20" s="222"/>
      <c r="BD20" s="222"/>
    </row>
    <row r="21" spans="2:56" x14ac:dyDescent="0.2">
      <c r="B21" s="192" t="s">
        <v>253</v>
      </c>
      <c r="C21" s="193" t="s">
        <v>132</v>
      </c>
      <c r="D21" s="193">
        <f>D19/C19-1</f>
        <v>0.12104634877665932</v>
      </c>
      <c r="E21" s="193">
        <f t="shared" ref="E21:F21" si="10">E19/D19-1</f>
        <v>6.7592041386133728E-2</v>
      </c>
      <c r="F21" s="193">
        <f t="shared" si="10"/>
        <v>0.12632285780481189</v>
      </c>
      <c r="G21" s="193">
        <f>G19/F19-1</f>
        <v>0.11354619176783132</v>
      </c>
      <c r="H21" s="245">
        <f>AVERAGE(E21:G21)</f>
        <v>0.10248703031959232</v>
      </c>
      <c r="I21" s="245">
        <f>H21</f>
        <v>0.10248703031959232</v>
      </c>
      <c r="J21" s="246">
        <f>I21</f>
        <v>0.10248703031959232</v>
      </c>
      <c r="O21" s="216"/>
      <c r="P21" s="210"/>
      <c r="Q21" s="210"/>
      <c r="R21" s="210"/>
      <c r="S21" s="210"/>
      <c r="T21" s="210"/>
      <c r="U21" s="210"/>
      <c r="V21" s="209"/>
      <c r="W21" s="217"/>
      <c r="AW21" s="222"/>
      <c r="AX21" s="222"/>
      <c r="AY21" s="222"/>
      <c r="AZ21" s="222"/>
      <c r="BA21" s="222"/>
      <c r="BB21" s="222"/>
      <c r="BC21" s="222"/>
      <c r="BD21" s="222"/>
    </row>
    <row r="22" spans="2:56" x14ac:dyDescent="0.2">
      <c r="B22" s="192" t="s">
        <v>226</v>
      </c>
      <c r="C22" s="196">
        <f>C19/C$26</f>
        <v>81.151029748283747</v>
      </c>
      <c r="D22" s="196">
        <f t="shared" ref="D22:G22" si="11">D19/D$26</f>
        <v>86.175578034682076</v>
      </c>
      <c r="E22" s="196">
        <f t="shared" si="11"/>
        <v>85.858732299393125</v>
      </c>
      <c r="F22" s="196">
        <f>F19/F$26</f>
        <v>89.998744901160961</v>
      </c>
      <c r="G22" s="196">
        <f t="shared" si="11"/>
        <v>92.928135001454763</v>
      </c>
      <c r="H22" s="247"/>
      <c r="I22" s="247"/>
      <c r="J22" s="248"/>
      <c r="O22" s="5" t="s">
        <v>241</v>
      </c>
      <c r="W22" s="6"/>
      <c r="AW22" s="222"/>
      <c r="AX22" s="222"/>
      <c r="AY22" s="222"/>
      <c r="AZ22" s="222"/>
      <c r="BA22" s="222"/>
      <c r="BB22" s="222"/>
      <c r="BC22" s="222"/>
      <c r="BD22" s="222"/>
    </row>
    <row r="23" spans="2:56" x14ac:dyDescent="0.2">
      <c r="B23" s="149" t="s">
        <v>207</v>
      </c>
      <c r="C23" s="96">
        <f>C3+C7+C11+C15+C19</f>
        <v>4656657</v>
      </c>
      <c r="D23" s="96">
        <f>D3+D7+D11+D15+D19</f>
        <v>5182087</v>
      </c>
      <c r="E23" s="96">
        <f>E3+E7+E11+E15+E19</f>
        <v>6094709</v>
      </c>
      <c r="F23" s="96">
        <f>F3+F7+F11+F15+F19</f>
        <v>6859359</v>
      </c>
      <c r="G23" s="96">
        <f>G3+G7+G11+G15+G19</f>
        <v>7604951</v>
      </c>
      <c r="H23" s="241">
        <f t="shared" ref="H23:J23" si="12">H3+H7+H11+H15+H19</f>
        <v>8041924.823865233</v>
      </c>
      <c r="I23" s="241">
        <f t="shared" si="12"/>
        <v>8477869.2342652772</v>
      </c>
      <c r="J23" s="242">
        <f t="shared" si="12"/>
        <v>8920993.1994386297</v>
      </c>
      <c r="O23" s="452" t="s">
        <v>229</v>
      </c>
      <c r="P23" s="453"/>
      <c r="W23" s="6"/>
      <c r="AW23" s="222"/>
      <c r="AX23" s="222"/>
      <c r="AY23" s="222"/>
      <c r="AZ23" s="222"/>
      <c r="BA23" s="222"/>
      <c r="BB23" s="222"/>
      <c r="BC23" s="222"/>
      <c r="BD23" s="222"/>
    </row>
    <row r="24" spans="2:56" x14ac:dyDescent="0.2">
      <c r="B24" s="149" t="s">
        <v>253</v>
      </c>
      <c r="C24" s="227" t="s">
        <v>132</v>
      </c>
      <c r="D24" s="228">
        <f>D23/C23-1</f>
        <v>0.1128341640795103</v>
      </c>
      <c r="E24" s="228">
        <f t="shared" ref="E24:G24" si="13">E23/D23-1</f>
        <v>0.17611089894862819</v>
      </c>
      <c r="F24" s="228">
        <f t="shared" si="13"/>
        <v>0.12546128125231237</v>
      </c>
      <c r="G24" s="228">
        <f t="shared" si="13"/>
        <v>0.10869703714297496</v>
      </c>
      <c r="H24" s="249">
        <f>H23/G23-1</f>
        <v>5.7459124176504561E-2</v>
      </c>
      <c r="I24" s="249">
        <f t="shared" ref="I24" si="14">I23/H23-1</f>
        <v>5.4208963643422203E-2</v>
      </c>
      <c r="J24" s="250">
        <f t="shared" ref="J24" si="15">J23/I23-1</f>
        <v>5.2268318008770853E-2</v>
      </c>
      <c r="O24" s="225"/>
      <c r="P24" s="226"/>
      <c r="W24" s="6"/>
      <c r="AW24" s="222"/>
      <c r="AX24" s="222"/>
      <c r="AY24" s="222"/>
      <c r="AZ24" s="222"/>
      <c r="BA24" s="222"/>
      <c r="BB24" s="222"/>
      <c r="BC24" s="222"/>
      <c r="BD24" s="222"/>
    </row>
    <row r="25" spans="2:56" x14ac:dyDescent="0.2">
      <c r="B25" s="192" t="s">
        <v>226</v>
      </c>
      <c r="C25" s="196">
        <f>C23/C$26</f>
        <v>1775.9942791762014</v>
      </c>
      <c r="D25" s="196">
        <f t="shared" ref="D25:G25" si="16">D23/D$26</f>
        <v>1872.1412572254335</v>
      </c>
      <c r="E25" s="196">
        <f t="shared" si="16"/>
        <v>2054.8580579905597</v>
      </c>
      <c r="F25" s="196">
        <f t="shared" si="16"/>
        <v>2152.293379353624</v>
      </c>
      <c r="G25" s="196">
        <f t="shared" si="16"/>
        <v>2212.6712249054408</v>
      </c>
      <c r="H25" s="251">
        <f t="shared" ref="H25" si="17">H23/H$26</f>
        <v>2160.6461106569673</v>
      </c>
      <c r="I25" s="251">
        <f t="shared" ref="I25" si="18">I23/I$26</f>
        <v>2095.6188887974381</v>
      </c>
      <c r="J25" s="252">
        <f t="shared" ref="J25" si="19">J23/J$26</f>
        <v>2021.3682344693711</v>
      </c>
      <c r="O25" s="218" t="s">
        <v>242</v>
      </c>
      <c r="P25" t="s">
        <v>250</v>
      </c>
      <c r="Q25" s="219">
        <v>294.11700000000002</v>
      </c>
      <c r="R25" s="219">
        <v>308.529</v>
      </c>
      <c r="S25" s="219">
        <v>312.16399999999999</v>
      </c>
      <c r="T25" s="219">
        <v>293.892</v>
      </c>
      <c r="U25" s="219">
        <v>289.17700000000002</v>
      </c>
      <c r="V25" s="219">
        <v>294.97500000000002</v>
      </c>
      <c r="W25" s="6"/>
    </row>
    <row r="26" spans="2:56" x14ac:dyDescent="0.2">
      <c r="B26" s="194" t="s">
        <v>227</v>
      </c>
      <c r="C26" s="197">
        <f>'CMG restaurant activity'!J40</f>
        <v>2622</v>
      </c>
      <c r="D26" s="197">
        <f>'CMG restaurant activity'!H40</f>
        <v>2768</v>
      </c>
      <c r="E26" s="197">
        <f>'CMG restaurant activity'!F40</f>
        <v>2966</v>
      </c>
      <c r="F26" s="197">
        <f>'CMG restaurant activity'!D40</f>
        <v>3187</v>
      </c>
      <c r="G26" s="197">
        <f>'CMG restaurant activity'!B40</f>
        <v>3437</v>
      </c>
      <c r="H26" s="253">
        <f>MOD!AH13</f>
        <v>3722.0000000000005</v>
      </c>
      <c r="I26" s="253">
        <f>MOD!AI13</f>
        <v>4045.5205283677633</v>
      </c>
      <c r="J26" s="254">
        <f>MOD!AJ13</f>
        <v>4413.34391592459</v>
      </c>
      <c r="O26" s="5"/>
      <c r="Q26" s="220" t="s">
        <v>132</v>
      </c>
      <c r="R26" s="75">
        <f>R25/Q25-1</f>
        <v>4.9000907801997062E-2</v>
      </c>
      <c r="S26" s="75">
        <f t="shared" ref="S26:V26" si="20">S25/R25-1</f>
        <v>1.1781712578072145E-2</v>
      </c>
      <c r="T26" s="75">
        <f t="shared" si="20"/>
        <v>-5.8533335041836998E-2</v>
      </c>
      <c r="U26" s="75">
        <f t="shared" si="20"/>
        <v>-1.6043308426224479E-2</v>
      </c>
      <c r="V26" s="75">
        <f t="shared" si="20"/>
        <v>2.0050003976803232E-2</v>
      </c>
      <c r="W26" s="76">
        <f>AVERAGE(Q26:V26)</f>
        <v>1.2511961777621928E-3</v>
      </c>
    </row>
    <row r="27" spans="2:56" x14ac:dyDescent="0.2">
      <c r="O27" s="218" t="s">
        <v>242</v>
      </c>
      <c r="P27" t="s">
        <v>251</v>
      </c>
      <c r="Q27" s="219">
        <v>183.48400000000001</v>
      </c>
      <c r="R27" s="219">
        <v>174.16300000000001</v>
      </c>
      <c r="S27" s="219">
        <v>175.25700000000001</v>
      </c>
      <c r="T27" s="219">
        <v>174.47300000000001</v>
      </c>
      <c r="U27" s="219">
        <v>189.13200000000001</v>
      </c>
      <c r="V27" s="219">
        <v>182.78399999999999</v>
      </c>
      <c r="W27" s="6"/>
    </row>
    <row r="28" spans="2:56" x14ac:dyDescent="0.2">
      <c r="O28" s="5"/>
      <c r="Q28" s="220" t="s">
        <v>132</v>
      </c>
      <c r="R28" s="75">
        <f>R27/Q27-1</f>
        <v>-5.0800069760851052E-2</v>
      </c>
      <c r="S28" s="75">
        <f t="shared" ref="S28" si="21">S27/R27-1</f>
        <v>6.2814719544335151E-3</v>
      </c>
      <c r="T28" s="75">
        <f t="shared" ref="T28" si="22">T27/S27-1</f>
        <v>-4.4734304478565301E-3</v>
      </c>
      <c r="U28" s="75">
        <f>U27/T27-1</f>
        <v>8.4018730691854948E-2</v>
      </c>
      <c r="V28" s="75">
        <f t="shared" ref="V28" si="23">V27/U27-1</f>
        <v>-3.3563860161157311E-2</v>
      </c>
      <c r="W28" s="76">
        <f>AVERAGE(Q28:V28)</f>
        <v>2.9256845528471411E-4</v>
      </c>
    </row>
    <row r="29" spans="2:56" x14ac:dyDescent="0.2">
      <c r="O29" s="218" t="s">
        <v>242</v>
      </c>
      <c r="P29" t="s">
        <v>234</v>
      </c>
      <c r="Q29" s="219">
        <v>335.30700000000002</v>
      </c>
      <c r="R29" s="219">
        <v>377.80599999999998</v>
      </c>
      <c r="S29" s="219">
        <v>446.06</v>
      </c>
      <c r="T29" s="219">
        <v>335.149</v>
      </c>
      <c r="U29" s="219">
        <v>355.74400000000003</v>
      </c>
      <c r="V29" s="219">
        <v>335.53500000000003</v>
      </c>
      <c r="W29" s="6"/>
    </row>
    <row r="30" spans="2:56" x14ac:dyDescent="0.2">
      <c r="O30" s="5"/>
      <c r="Q30" s="220" t="s">
        <v>132</v>
      </c>
      <c r="R30" s="75">
        <f>R29/Q29-1</f>
        <v>0.12674653377352674</v>
      </c>
      <c r="S30" s="75">
        <f t="shared" ref="S30" si="24">S29/R29-1</f>
        <v>0.18065885666188475</v>
      </c>
      <c r="T30" s="75">
        <f t="shared" ref="T30" si="25">T29/S29-1</f>
        <v>-0.24864592207326364</v>
      </c>
      <c r="U30" s="75">
        <f>U29/T29-1</f>
        <v>6.1450280323080309E-2</v>
      </c>
      <c r="V30" s="75">
        <f t="shared" ref="V30" si="26">V29/U29-1</f>
        <v>-5.6807704416659166E-2</v>
      </c>
      <c r="W30" s="76">
        <f>AVERAGE(Q30:V30)</f>
        <v>1.2680408853713798E-2</v>
      </c>
    </row>
    <row r="31" spans="2:56" x14ac:dyDescent="0.2">
      <c r="O31" s="452" t="s">
        <v>230</v>
      </c>
      <c r="P31" s="453"/>
      <c r="Q31" s="11"/>
      <c r="W31" s="6"/>
    </row>
    <row r="32" spans="2:56" x14ac:dyDescent="0.2">
      <c r="O32" s="218" t="s">
        <v>242</v>
      </c>
      <c r="P32" t="s">
        <v>230</v>
      </c>
      <c r="Q32" s="219">
        <v>237.41800000000001</v>
      </c>
      <c r="R32" s="219">
        <v>239.827</v>
      </c>
      <c r="S32" s="219">
        <v>240.30199999999999</v>
      </c>
      <c r="T32" s="219">
        <v>240.06800000000001</v>
      </c>
      <c r="U32" s="219">
        <v>240.09399999999999</v>
      </c>
      <c r="V32" s="219">
        <v>239.74700000000001</v>
      </c>
      <c r="W32" s="6"/>
    </row>
    <row r="33" spans="2:23" x14ac:dyDescent="0.2">
      <c r="B33" s="454" t="s">
        <v>228</v>
      </c>
      <c r="C33" s="455"/>
      <c r="D33" s="455"/>
      <c r="E33" s="456"/>
      <c r="O33" s="5"/>
      <c r="Q33" s="220" t="s">
        <v>132</v>
      </c>
      <c r="R33" s="75">
        <f>R32/Q32-1</f>
        <v>1.0146661163012105E-2</v>
      </c>
      <c r="S33" s="75">
        <f t="shared" ref="S33" si="27">S32/R32-1</f>
        <v>1.9805943450903474E-3</v>
      </c>
      <c r="T33" s="75">
        <f t="shared" ref="T33" si="28">T32/S32-1</f>
        <v>-9.7377466687742498E-4</v>
      </c>
      <c r="U33" s="75">
        <f>U32/T32-1</f>
        <v>1.0830264758321384E-4</v>
      </c>
      <c r="V33" s="75">
        <f t="shared" ref="V33" si="29">V32/U32-1</f>
        <v>-1.4452672703190172E-3</v>
      </c>
      <c r="W33" s="76">
        <f>AVERAGE(Q33:V33)</f>
        <v>1.9633032436978449E-3</v>
      </c>
    </row>
    <row r="34" spans="2:23" x14ac:dyDescent="0.2">
      <c r="B34" s="149" t="s">
        <v>229</v>
      </c>
      <c r="D34" s="6"/>
      <c r="E34" s="224" t="s">
        <v>252</v>
      </c>
      <c r="O34" s="452" t="s">
        <v>231</v>
      </c>
      <c r="P34" s="453"/>
      <c r="W34" s="6"/>
    </row>
    <row r="35" spans="2:23" x14ac:dyDescent="0.2">
      <c r="B35" s="201" t="s">
        <v>232</v>
      </c>
      <c r="C35" s="199">
        <v>0.6</v>
      </c>
      <c r="D35" s="204">
        <f>$C$44*(1-$C$45)*C35</f>
        <v>6.2392611401697602</v>
      </c>
      <c r="E35" s="223">
        <f>D35*(1+W26)</f>
        <v>6.2470676798604003</v>
      </c>
      <c r="O35" s="218" t="s">
        <v>242</v>
      </c>
      <c r="P35" t="s">
        <v>235</v>
      </c>
      <c r="Q35" s="219">
        <v>209.26400000000001</v>
      </c>
      <c r="R35" s="219">
        <v>210.58</v>
      </c>
      <c r="S35" s="219">
        <v>215.869</v>
      </c>
      <c r="T35" s="219">
        <v>227.15899999999999</v>
      </c>
      <c r="U35" s="219">
        <v>232.376</v>
      </c>
      <c r="V35" s="219">
        <v>235.23599999999999</v>
      </c>
      <c r="W35" s="6"/>
    </row>
    <row r="36" spans="2:23" x14ac:dyDescent="0.2">
      <c r="B36" s="201" t="s">
        <v>233</v>
      </c>
      <c r="C36" s="199">
        <v>0.15</v>
      </c>
      <c r="D36" s="204">
        <f t="shared" ref="D36:D41" si="30">$C$44*(1-$C$45)*C36</f>
        <v>1.55981528504244</v>
      </c>
      <c r="E36" s="223">
        <f>D36*(1+W28)</f>
        <v>1.5602716377909145</v>
      </c>
      <c r="O36" s="5"/>
      <c r="Q36" s="220" t="s">
        <v>132</v>
      </c>
      <c r="R36" s="75">
        <f>R35/Q35-1</f>
        <v>6.288707087697798E-3</v>
      </c>
      <c r="S36" s="75">
        <f t="shared" ref="S36" si="31">S35/R35-1</f>
        <v>2.5116345331940293E-2</v>
      </c>
      <c r="T36" s="75">
        <f t="shared" ref="T36" si="32">T35/S35-1</f>
        <v>5.2300237644126835E-2</v>
      </c>
      <c r="U36" s="75">
        <f>U35/T35-1</f>
        <v>2.2966292332683436E-2</v>
      </c>
      <c r="V36" s="75">
        <f t="shared" ref="V36" si="33">V35/U35-1</f>
        <v>1.2307639343133392E-2</v>
      </c>
      <c r="W36" s="76">
        <f>AVERAGE(Q36:V36)</f>
        <v>2.3795844347916352E-2</v>
      </c>
    </row>
    <row r="37" spans="2:23" x14ac:dyDescent="0.2">
      <c r="B37" s="201" t="s">
        <v>234</v>
      </c>
      <c r="C37" s="199">
        <v>0.15</v>
      </c>
      <c r="D37" s="204">
        <f t="shared" si="30"/>
        <v>1.55981528504244</v>
      </c>
      <c r="E37" s="223">
        <f>D37*(1+W30)</f>
        <v>1.5795943805930504</v>
      </c>
      <c r="O37" s="218" t="s">
        <v>242</v>
      </c>
      <c r="P37" t="s">
        <v>236</v>
      </c>
      <c r="Q37" s="219">
        <v>314.04899999999998</v>
      </c>
      <c r="R37" s="219">
        <v>320.51900000000001</v>
      </c>
      <c r="S37" s="219">
        <v>318.55099999999999</v>
      </c>
      <c r="T37" s="219">
        <v>321.85500000000002</v>
      </c>
      <c r="U37" s="219">
        <v>323</v>
      </c>
      <c r="V37" s="219">
        <v>320.76100000000002</v>
      </c>
      <c r="W37" s="6"/>
    </row>
    <row r="38" spans="2:23" x14ac:dyDescent="0.2">
      <c r="B38" s="149" t="s">
        <v>230</v>
      </c>
      <c r="C38" s="199">
        <v>0.05</v>
      </c>
      <c r="D38" s="204">
        <f t="shared" si="30"/>
        <v>0.51993842834748005</v>
      </c>
      <c r="E38" s="223">
        <f>D38*(1+W33)</f>
        <v>0.52095922515037785</v>
      </c>
      <c r="O38" s="7"/>
      <c r="P38" s="8"/>
      <c r="Q38" s="221" t="s">
        <v>132</v>
      </c>
      <c r="R38" s="144">
        <f>R37/Q37-1</f>
        <v>2.0601880598250633E-2</v>
      </c>
      <c r="S38" s="144">
        <f t="shared" ref="S38" si="34">S37/R37-1</f>
        <v>-6.1400416199975938E-3</v>
      </c>
      <c r="T38" s="144">
        <f t="shared" ref="T38" si="35">T37/S37-1</f>
        <v>1.0371965556535745E-2</v>
      </c>
      <c r="U38" s="144">
        <f>U37/T37-1</f>
        <v>3.5575026021033018E-3</v>
      </c>
      <c r="V38" s="144">
        <f t="shared" ref="V38" si="36">V37/U37-1</f>
        <v>-6.9318885448915735E-3</v>
      </c>
      <c r="W38" s="141">
        <f>AVERAGE(Q38:V38)</f>
        <v>4.2918837184001022E-3</v>
      </c>
    </row>
    <row r="39" spans="2:23" x14ac:dyDescent="0.2">
      <c r="B39" s="149" t="s">
        <v>231</v>
      </c>
      <c r="C39" s="199"/>
      <c r="D39" s="204"/>
      <c r="E39" s="223"/>
    </row>
    <row r="40" spans="2:23" x14ac:dyDescent="0.2">
      <c r="B40" s="201" t="s">
        <v>235</v>
      </c>
      <c r="C40" s="199">
        <v>2.5000000000000001E-2</v>
      </c>
      <c r="D40" s="204">
        <f t="shared" si="30"/>
        <v>0.25996921417374003</v>
      </c>
      <c r="E40" s="223">
        <f>D40*(1+W36)</f>
        <v>0.26615540112946845</v>
      </c>
    </row>
    <row r="41" spans="2:23" x14ac:dyDescent="0.2">
      <c r="B41" s="201" t="s">
        <v>236</v>
      </c>
      <c r="C41" s="199">
        <v>2.5000000000000001E-2</v>
      </c>
      <c r="D41" s="204">
        <f t="shared" si="30"/>
        <v>0.25996921417374003</v>
      </c>
      <c r="E41" s="223">
        <f>D41*(1+W38)</f>
        <v>0.26108497181133755</v>
      </c>
    </row>
    <row r="42" spans="2:23" x14ac:dyDescent="0.2">
      <c r="B42" s="202" t="s">
        <v>167</v>
      </c>
      <c r="C42" s="205">
        <f>SUM(C35:C41)</f>
        <v>1</v>
      </c>
      <c r="D42" s="206">
        <f>SUM(D35:D41)</f>
        <v>10.398768566949601</v>
      </c>
      <c r="E42" s="206">
        <f>SUM(E35:E41)</f>
        <v>10.435133296335549</v>
      </c>
      <c r="F42" s="1">
        <f>E42/D42-1</f>
        <v>3.4970226668498139E-3</v>
      </c>
    </row>
    <row r="44" spans="2:23" x14ac:dyDescent="0.2">
      <c r="B44" t="s">
        <v>237</v>
      </c>
      <c r="C44" s="203">
        <v>13.15</v>
      </c>
    </row>
    <row r="45" spans="2:23" x14ac:dyDescent="0.2">
      <c r="B45" t="s">
        <v>240</v>
      </c>
      <c r="C45" s="198">
        <f>AVERAGE(C52:E52)</f>
        <v>0.20921912038406076</v>
      </c>
    </row>
    <row r="48" spans="2:23" x14ac:dyDescent="0.2">
      <c r="B48" s="229"/>
      <c r="C48" s="207">
        <v>2021</v>
      </c>
      <c r="D48" s="207">
        <f t="shared" ref="D48:E48" si="37">C48+1</f>
        <v>2022</v>
      </c>
      <c r="E48" s="208">
        <f t="shared" si="37"/>
        <v>2023</v>
      </c>
    </row>
    <row r="49" spans="2:7" x14ac:dyDescent="0.2">
      <c r="B49" s="5" t="s">
        <v>126</v>
      </c>
      <c r="C49" s="131">
        <f>MOD!S10</f>
        <v>7547061</v>
      </c>
      <c r="D49" s="131">
        <f>MOD!X10</f>
        <v>8634652</v>
      </c>
      <c r="E49" s="230">
        <f>MOD!AC10</f>
        <v>9871649</v>
      </c>
    </row>
    <row r="50" spans="2:7" x14ac:dyDescent="0.2">
      <c r="B50" s="5" t="s">
        <v>239</v>
      </c>
      <c r="C50" s="131">
        <f>MOD!S34</f>
        <v>6094709</v>
      </c>
      <c r="D50" s="131">
        <f>MOD!X34</f>
        <v>6859359</v>
      </c>
      <c r="E50" s="230">
        <f>MOD!AC34</f>
        <v>7604951</v>
      </c>
      <c r="F50" s="195"/>
      <c r="G50" s="195"/>
    </row>
    <row r="51" spans="2:7" x14ac:dyDescent="0.2">
      <c r="B51" s="5" t="s">
        <v>208</v>
      </c>
      <c r="C51" s="131">
        <f>C49-C50</f>
        <v>1452352</v>
      </c>
      <c r="D51" s="131">
        <f t="shared" ref="D51:E51" si="38">D49-D50</f>
        <v>1775293</v>
      </c>
      <c r="E51" s="230">
        <f t="shared" si="38"/>
        <v>2266698</v>
      </c>
    </row>
    <row r="52" spans="2:7" x14ac:dyDescent="0.2">
      <c r="B52" s="7" t="s">
        <v>238</v>
      </c>
      <c r="C52" s="231">
        <f>C51/C49</f>
        <v>0.19243941449525848</v>
      </c>
      <c r="D52" s="231">
        <f t="shared" ref="D52:E52" si="39">D51/D49</f>
        <v>0.20560099005727156</v>
      </c>
      <c r="E52" s="232">
        <f t="shared" si="39"/>
        <v>0.2296169565996522</v>
      </c>
    </row>
  </sheetData>
  <mergeCells count="4">
    <mergeCell ref="O34:P34"/>
    <mergeCell ref="B33:E33"/>
    <mergeCell ref="O23:P23"/>
    <mergeCell ref="O31:P31"/>
  </mergeCells>
  <hyperlinks>
    <hyperlink ref="O25" r:id="rId1" xr:uid="{6DC4B5EA-A72B-47A9-B9E4-DB66C3D34BF4}"/>
    <hyperlink ref="O27" r:id="rId2" xr:uid="{8A42D108-28F7-4AD8-9CD8-3A34B33D5AAD}"/>
    <hyperlink ref="O29" r:id="rId3" xr:uid="{E8B4833C-AE2C-4670-B9D4-143DA5CFCEF2}"/>
    <hyperlink ref="O32" r:id="rId4" xr:uid="{73C8CA7D-C4B4-46E7-9713-EDCD50CE56D8}"/>
    <hyperlink ref="O35" r:id="rId5" xr:uid="{67169D89-3793-4E28-96EB-0013CC63B23E}"/>
    <hyperlink ref="O37" r:id="rId6" xr:uid="{FB285CD7-DD4B-4C16-AD00-B879B4E82339}"/>
  </hyperlinks>
  <pageMargins left="0.7" right="0.7" top="0.75" bottom="0.75" header="0.3" footer="0.3"/>
  <pageSetup orientation="portrait" verticalDpi="0"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426ED-6576-425B-8F74-B5D609224F06}">
  <dimension ref="A2:AC110"/>
  <sheetViews>
    <sheetView showGridLines="0" zoomScale="70" zoomScaleNormal="70" workbookViewId="0">
      <pane xSplit="3" ySplit="9" topLeftCell="D10" activePane="bottomRight" state="frozen"/>
      <selection pane="topRight" activeCell="D1" sqref="D1"/>
      <selection pane="bottomLeft" activeCell="A10" sqref="A10"/>
      <selection pane="bottomRight" activeCell="AG34" sqref="AG34"/>
    </sheetView>
  </sheetViews>
  <sheetFormatPr baseColWidth="10" defaultColWidth="12" defaultRowHeight="16" outlineLevelRow="1" x14ac:dyDescent="0.2"/>
  <cols>
    <col min="1" max="1" width="4" style="13" customWidth="1"/>
    <col min="2" max="2" width="12" style="12" customWidth="1"/>
    <col min="3" max="3" width="23.5" style="12" customWidth="1"/>
    <col min="4" max="5" width="10.33203125" style="12" customWidth="1"/>
    <col min="6" max="6" width="11.33203125" style="12" customWidth="1"/>
    <col min="7" max="7" width="10.83203125" style="12" customWidth="1"/>
    <col min="8" max="9" width="10.33203125" style="12" customWidth="1"/>
    <col min="10" max="10" width="11.83203125" style="12" customWidth="1"/>
    <col min="11" max="13" width="10.33203125" style="12" customWidth="1"/>
    <col min="14" max="14" width="12.6640625" style="12" customWidth="1"/>
    <col min="15" max="19" width="10.33203125" style="12" customWidth="1"/>
    <col min="20" max="20" width="11" style="12" bestFit="1" customWidth="1"/>
    <col min="21" max="22" width="11.83203125" style="12" customWidth="1"/>
    <col min="23" max="24" width="10.33203125" style="12" customWidth="1"/>
    <col min="25" max="25" width="11.83203125" style="12" bestFit="1" customWidth="1"/>
    <col min="26" max="26" width="13.1640625" style="12" bestFit="1" customWidth="1"/>
    <col min="27" max="29" width="10.33203125" style="12" customWidth="1"/>
    <col min="30" max="16384" width="12" style="12"/>
  </cols>
  <sheetData>
    <row r="2" spans="1:29" s="67" customFormat="1" ht="21" x14ac:dyDescent="0.25">
      <c r="A2" s="70"/>
      <c r="B2" s="69"/>
      <c r="F2" s="68"/>
      <c r="R2" s="68"/>
      <c r="U2" s="68"/>
    </row>
    <row r="4" spans="1:29" x14ac:dyDescent="0.2">
      <c r="B4" s="64" t="s">
        <v>157</v>
      </c>
      <c r="C4" s="66">
        <v>45491</v>
      </c>
      <c r="F4" s="65"/>
    </row>
    <row r="5" spans="1:29" x14ac:dyDescent="0.2">
      <c r="B5" s="64" t="s">
        <v>156</v>
      </c>
      <c r="C5" s="63" t="s">
        <v>155</v>
      </c>
    </row>
    <row r="7" spans="1:29" ht="18" x14ac:dyDescent="0.2">
      <c r="B7" s="27">
        <f ca="1">B7:O20</f>
        <v>0</v>
      </c>
      <c r="C7" s="28"/>
      <c r="D7" s="25"/>
      <c r="E7" s="25"/>
      <c r="F7" s="25"/>
      <c r="G7" s="25"/>
      <c r="H7" s="25"/>
      <c r="I7" s="25"/>
      <c r="J7" s="25"/>
      <c r="K7" s="25"/>
      <c r="L7" s="25"/>
      <c r="M7" s="25"/>
      <c r="N7" s="25"/>
      <c r="O7" s="25"/>
      <c r="P7" s="25"/>
      <c r="Q7" s="25"/>
      <c r="R7" s="25"/>
      <c r="S7" s="25"/>
      <c r="T7" s="25"/>
      <c r="U7" s="25"/>
      <c r="V7" s="25"/>
      <c r="W7" s="25"/>
      <c r="X7" s="436" t="s">
        <v>154</v>
      </c>
      <c r="Y7" s="436"/>
      <c r="Z7" s="436"/>
      <c r="AA7" s="436"/>
      <c r="AB7" s="436"/>
      <c r="AC7" s="436"/>
    </row>
    <row r="8" spans="1:29" ht="19" x14ac:dyDescent="0.2">
      <c r="B8" s="27"/>
      <c r="C8" s="27"/>
      <c r="D8" s="25" t="s">
        <v>130</v>
      </c>
      <c r="E8" s="25" t="s">
        <v>129</v>
      </c>
      <c r="F8" s="25" t="s">
        <v>128</v>
      </c>
      <c r="G8" s="25" t="s">
        <v>127</v>
      </c>
      <c r="H8" s="25"/>
      <c r="I8" s="26" t="s">
        <v>126</v>
      </c>
      <c r="J8" s="26"/>
      <c r="K8" s="26"/>
      <c r="L8" s="26" t="s">
        <v>125</v>
      </c>
      <c r="M8" s="26"/>
      <c r="N8" s="26" t="s">
        <v>124</v>
      </c>
      <c r="O8" s="26"/>
      <c r="P8" s="25"/>
      <c r="Q8" s="26" t="s">
        <v>153</v>
      </c>
      <c r="R8" s="26"/>
      <c r="S8" s="26" t="s">
        <v>152</v>
      </c>
      <c r="T8" s="26"/>
      <c r="U8" s="26" t="s">
        <v>151</v>
      </c>
      <c r="V8" s="26"/>
      <c r="W8" s="25"/>
      <c r="X8" s="436" t="s">
        <v>150</v>
      </c>
      <c r="Y8" s="436"/>
      <c r="Z8" s="436" t="s">
        <v>149</v>
      </c>
      <c r="AA8" s="436"/>
      <c r="AB8" s="436" t="s">
        <v>148</v>
      </c>
      <c r="AC8" s="436"/>
    </row>
    <row r="9" spans="1:29" ht="15.75" customHeight="1" x14ac:dyDescent="0.2">
      <c r="B9" s="24" t="s">
        <v>123</v>
      </c>
      <c r="C9" s="24" t="s">
        <v>122</v>
      </c>
      <c r="D9" s="22" t="s">
        <v>121</v>
      </c>
      <c r="E9" s="22" t="s">
        <v>120</v>
      </c>
      <c r="F9" s="22" t="s">
        <v>119</v>
      </c>
      <c r="G9" s="22" t="s">
        <v>118</v>
      </c>
      <c r="H9" s="25"/>
      <c r="I9" s="23" t="s">
        <v>115</v>
      </c>
      <c r="J9" s="23" t="s">
        <v>114</v>
      </c>
      <c r="K9" s="23" t="s">
        <v>113</v>
      </c>
      <c r="L9" s="23" t="s">
        <v>112</v>
      </c>
      <c r="M9" s="23" t="s">
        <v>111</v>
      </c>
      <c r="N9" s="23" t="str">
        <f>L9</f>
        <v>'22</v>
      </c>
      <c r="O9" s="23" t="str">
        <f>M9</f>
        <v>'23</v>
      </c>
      <c r="P9" s="22"/>
      <c r="Q9" s="23" t="s">
        <v>147</v>
      </c>
      <c r="R9" s="23" t="s">
        <v>146</v>
      </c>
      <c r="S9" s="23" t="s">
        <v>112</v>
      </c>
      <c r="T9" s="23" t="s">
        <v>111</v>
      </c>
      <c r="U9" s="23" t="str">
        <f>S9</f>
        <v>'22</v>
      </c>
      <c r="V9" s="23" t="str">
        <f>T9</f>
        <v>'23</v>
      </c>
      <c r="W9" s="23"/>
      <c r="X9" s="437" t="s">
        <v>369</v>
      </c>
      <c r="Y9" s="437" t="s">
        <v>370</v>
      </c>
      <c r="Z9" s="437" t="str">
        <f>X9</f>
        <v>‘24</v>
      </c>
      <c r="AA9" s="437" t="str">
        <f>Y9</f>
        <v>’25</v>
      </c>
      <c r="AB9" s="437" t="str">
        <f>Z9</f>
        <v>‘24</v>
      </c>
      <c r="AC9" s="437" t="str">
        <f>AA9</f>
        <v>’25</v>
      </c>
    </row>
    <row r="10" spans="1:29" ht="5.25" customHeight="1" x14ac:dyDescent="0.2">
      <c r="B10" s="42"/>
      <c r="C10" s="42"/>
      <c r="D10" s="29"/>
      <c r="E10" s="29"/>
      <c r="F10" s="29"/>
      <c r="G10" s="29"/>
      <c r="I10" s="29"/>
      <c r="J10" s="29"/>
      <c r="K10" s="29"/>
      <c r="L10" s="29"/>
      <c r="M10" s="29"/>
      <c r="N10" s="29"/>
      <c r="O10" s="29"/>
      <c r="P10" s="29"/>
      <c r="Q10" s="18"/>
      <c r="R10" s="18"/>
      <c r="S10" s="18"/>
      <c r="T10" s="18"/>
      <c r="U10" s="18"/>
      <c r="V10" s="18"/>
      <c r="W10" s="18"/>
      <c r="X10" s="438"/>
      <c r="Y10" s="438"/>
      <c r="Z10" s="438"/>
      <c r="AA10" s="438"/>
      <c r="AB10" s="438"/>
      <c r="AC10" s="438"/>
    </row>
    <row r="11" spans="1:29" ht="15.75" customHeight="1" x14ac:dyDescent="0.2">
      <c r="B11" s="62" t="str">
        <f>B36</f>
        <v>CMG-US</v>
      </c>
      <c r="C11" s="61" t="str">
        <f>VLOOKUP($B11,$B$36:$Q$55,C$32,0)</f>
        <v>#Calc</v>
      </c>
      <c r="D11" s="59" t="str">
        <f>VLOOKUP($B11,$B$36:$Q$43,D$32,0)</f>
        <v>#Calc</v>
      </c>
      <c r="E11" s="59" t="str">
        <f>VLOOKUP($B11,$B$36:$Q$43,E$32,0)</f>
        <v>#Calc</v>
      </c>
      <c r="F11" s="59" t="e">
        <f>VLOOKUP($B11,$B$36:$Q$43,F$32,0)</f>
        <v>#VALUE!</v>
      </c>
      <c r="G11" s="59" t="e">
        <f>VLOOKUP($B11,$B$36:$Q$43,G$32,0)</f>
        <v>#VALUE!</v>
      </c>
      <c r="H11" s="59"/>
      <c r="I11" s="59" t="str">
        <f>VLOOKUP($B11,$B$36:$Q$43,K$32,0)</f>
        <v>#Calc</v>
      </c>
      <c r="J11" s="59" t="str">
        <f>VLOOKUP($B11,$B$36:$Q$43,L$32,0)</f>
        <v>#Calc</v>
      </c>
      <c r="K11" s="59" t="str">
        <f>VLOOKUP($B11,$B$36:$Q$43,M$32,0)</f>
        <v>#Calc</v>
      </c>
      <c r="L11" s="59" t="str">
        <f>VLOOKUP($B11,$B$36:$Q$43,N$32,0)</f>
        <v>#Calc</v>
      </c>
      <c r="M11" s="59" t="str">
        <f>VLOOKUP($B11,$B$36:$Q$43,O$32,0)</f>
        <v>#Calc</v>
      </c>
      <c r="N11" s="59" t="str">
        <f>INDEX($P$36:$P$43,MATCH($B11,$B$36:$B$43,0))</f>
        <v>#Calc</v>
      </c>
      <c r="O11" s="59" t="str">
        <f>INDEX($Q$36:$Q$43,MATCH($B11,$B$36:$B$43,0))</f>
        <v>#Calc</v>
      </c>
      <c r="P11" s="58"/>
      <c r="Q11" s="58" t="e">
        <f>J11/I11-1</f>
        <v>#VALUE!</v>
      </c>
      <c r="R11" s="58" t="e">
        <f>K11/J11-1</f>
        <v>#VALUE!</v>
      </c>
      <c r="S11" s="58" t="e">
        <f>L11/J11</f>
        <v>#VALUE!</v>
      </c>
      <c r="T11" s="58" t="e">
        <f>M11/K11</f>
        <v>#VALUE!</v>
      </c>
      <c r="U11" s="57" t="e">
        <f>N11/J11</f>
        <v>#VALUE!</v>
      </c>
      <c r="V11" s="57" t="e">
        <f>O11/K11</f>
        <v>#VALUE!</v>
      </c>
      <c r="W11" s="58"/>
      <c r="X11" s="439" t="str">
        <f>_xll.FDS(B11,"FE_VALUATION(FFEV_SALES,MEAN,ANN,+1,NOW,,,'')")</f>
        <v>#Calc</v>
      </c>
      <c r="Y11" s="439" t="str">
        <f>_xll.FDS(B11,"FE_VALUATION(FFEV_SALES,MEAN,ANN,+2,NOW,,,'')")</f>
        <v>#Calc</v>
      </c>
      <c r="Z11" s="439" t="str">
        <f>_xll.FDS(B11,"FE_VALUATION(FFEV_EBITDA,MEAN,ANN,+1,NOW,,,'')")</f>
        <v>#Calc</v>
      </c>
      <c r="AA11" s="439" t="str">
        <f>_xll.FDS(B11,"FE_VALUATION(FFEV_EBITDA,MEAN,ANN,+2,NOW,,,'')")</f>
        <v>#Calc</v>
      </c>
      <c r="AB11" s="439" t="str">
        <f>_xll.FDS(B11,"FE_VALUATION(PE,MEAN,ANN,+1,NOW,,,'')")</f>
        <v>#Calc</v>
      </c>
      <c r="AC11" s="439" t="str">
        <f>_xll.FDS(B11,"FE_VALUATION(PE,MEAN,ANN,+2,NOW,,,'')")</f>
        <v>#Calc</v>
      </c>
    </row>
    <row r="12" spans="1:29" ht="4.5" customHeight="1" x14ac:dyDescent="0.2">
      <c r="B12" s="14"/>
      <c r="C12" s="60"/>
      <c r="D12" s="13"/>
      <c r="E12" s="17"/>
      <c r="F12" s="17"/>
      <c r="G12" s="17"/>
      <c r="I12" s="17"/>
      <c r="J12" s="17"/>
      <c r="K12" s="17"/>
      <c r="L12" s="17"/>
      <c r="M12" s="17"/>
      <c r="N12" s="17"/>
      <c r="O12" s="17"/>
      <c r="P12" s="20"/>
      <c r="Q12" s="58"/>
      <c r="R12" s="58"/>
      <c r="S12" s="58"/>
      <c r="T12" s="58"/>
      <c r="U12" s="57"/>
      <c r="V12" s="57"/>
      <c r="W12" s="20"/>
      <c r="X12" s="439"/>
      <c r="Y12" s="439"/>
      <c r="Z12" s="439"/>
      <c r="AA12" s="439"/>
      <c r="AB12" s="439"/>
      <c r="AC12" s="439"/>
    </row>
    <row r="13" spans="1:29" ht="15.75" customHeight="1" x14ac:dyDescent="0.2">
      <c r="A13" s="13">
        <v>1</v>
      </c>
      <c r="B13" s="14" t="str">
        <f t="shared" ref="B13:B19" si="0">B37</f>
        <v>SBUX-US</v>
      </c>
      <c r="C13" s="12" t="str">
        <f t="shared" ref="C13:C19" si="1">VLOOKUP($B13,$B$36:$Q$55,C$32,0)</f>
        <v>#Calc</v>
      </c>
      <c r="D13" s="59" t="str">
        <f t="shared" ref="D13:G19" si="2">VLOOKUP($B13,$B$36:$Q$43,D$32,0)</f>
        <v>#Calc</v>
      </c>
      <c r="E13" s="59" t="str">
        <f t="shared" si="2"/>
        <v>#Calc</v>
      </c>
      <c r="F13" s="59" t="e">
        <f t="shared" si="2"/>
        <v>#VALUE!</v>
      </c>
      <c r="G13" s="59" t="e">
        <f t="shared" si="2"/>
        <v>#VALUE!</v>
      </c>
      <c r="I13" s="59" t="str">
        <f t="shared" ref="I13:M19" si="3">VLOOKUP($B13,$B$36:$Q$55,K$32,0)</f>
        <v>#Calc</v>
      </c>
      <c r="J13" s="59" t="str">
        <f t="shared" si="3"/>
        <v>#Calc</v>
      </c>
      <c r="K13" s="59" t="str">
        <f t="shared" si="3"/>
        <v>#Calc</v>
      </c>
      <c r="L13" s="59" t="str">
        <f t="shared" si="3"/>
        <v>#Calc</v>
      </c>
      <c r="M13" s="59" t="str">
        <f t="shared" si="3"/>
        <v>#Calc</v>
      </c>
      <c r="N13" s="59" t="str">
        <f t="shared" ref="N13:N19" si="4">INDEX($P$36:$P$43,MATCH($B13,$B$36:$B$43,0))</f>
        <v>#Calc</v>
      </c>
      <c r="O13" s="59" t="str">
        <f t="shared" ref="O13:O19" si="5">INDEX($Q$36:$Q$43,MATCH($B13,$B$36:$B$43,0))</f>
        <v>#Calc</v>
      </c>
      <c r="P13" s="16"/>
      <c r="Q13" s="58" t="e">
        <f t="shared" ref="Q13:R19" si="6">J13/I13-1</f>
        <v>#VALUE!</v>
      </c>
      <c r="R13" s="58" t="e">
        <f t="shared" si="6"/>
        <v>#VALUE!</v>
      </c>
      <c r="S13" s="58" t="e">
        <f t="shared" ref="S13:T19" si="7">L13/J13</f>
        <v>#VALUE!</v>
      </c>
      <c r="T13" s="58" t="e">
        <f t="shared" si="7"/>
        <v>#VALUE!</v>
      </c>
      <c r="U13" s="57" t="e">
        <f t="shared" ref="U13:V19" si="8">N13/J13</f>
        <v>#VALUE!</v>
      </c>
      <c r="V13" s="57" t="e">
        <f t="shared" si="8"/>
        <v>#VALUE!</v>
      </c>
      <c r="W13" s="16"/>
      <c r="X13" s="439" t="str">
        <f>_xll.FDS(B13,"FE_VALUATION(FFEV_SALES,MEAN,ANN,+1,NOW,,,'')")</f>
        <v>#Calc</v>
      </c>
      <c r="Y13" s="439" t="str">
        <f>_xll.FDS(B13,"FE_VALUATION(FFEV_SALES,MEAN,ANN,+2,NOW,,,'')")</f>
        <v>#Calc</v>
      </c>
      <c r="Z13" s="439" t="str">
        <f>_xll.FDS(B13,"FE_VALUATION(FFEV_EBITDA,MEAN,ANN,+1,NOW,,,'')")</f>
        <v>#Calc</v>
      </c>
      <c r="AA13" s="439" t="str">
        <f>_xll.FDS(B13,"FE_VALUATION(FFEV_EBITDA,MEAN,ANN,+2,NOW,,,'')")</f>
        <v>#Calc</v>
      </c>
      <c r="AB13" s="439" t="str">
        <f>_xll.FDS(B13,"FE_VALUATION(PE,MEAN,ANN,+1,NOW,,,'')")</f>
        <v>#Calc</v>
      </c>
      <c r="AC13" s="439" t="str">
        <f>_xll.FDS(B13,"FE_VALUATION(PE,MEAN,ANN,+2,NOW,,,'')")</f>
        <v>#Calc</v>
      </c>
    </row>
    <row r="14" spans="1:29" ht="15.75" customHeight="1" x14ac:dyDescent="0.2">
      <c r="A14" s="13">
        <f t="shared" ref="A14:A19" si="9">A13+1</f>
        <v>2</v>
      </c>
      <c r="B14" s="14" t="str">
        <f t="shared" si="0"/>
        <v>WEN-US</v>
      </c>
      <c r="C14" s="12" t="str">
        <f t="shared" si="1"/>
        <v>#Calc</v>
      </c>
      <c r="D14" s="59" t="str">
        <f t="shared" si="2"/>
        <v>#Calc</v>
      </c>
      <c r="E14" s="59" t="str">
        <f t="shared" si="2"/>
        <v>#Calc</v>
      </c>
      <c r="F14" s="59" t="e">
        <f t="shared" si="2"/>
        <v>#VALUE!</v>
      </c>
      <c r="G14" s="59" t="e">
        <f t="shared" si="2"/>
        <v>#VALUE!</v>
      </c>
      <c r="I14" s="59" t="str">
        <f t="shared" si="3"/>
        <v>#Calc</v>
      </c>
      <c r="J14" s="59" t="str">
        <f t="shared" si="3"/>
        <v>#Calc</v>
      </c>
      <c r="K14" s="59" t="str">
        <f t="shared" si="3"/>
        <v>#Calc</v>
      </c>
      <c r="L14" s="59" t="str">
        <f t="shared" si="3"/>
        <v>#Calc</v>
      </c>
      <c r="M14" s="59" t="str">
        <f t="shared" si="3"/>
        <v>#Calc</v>
      </c>
      <c r="N14" s="59" t="str">
        <f t="shared" si="4"/>
        <v>#Calc</v>
      </c>
      <c r="O14" s="59" t="str">
        <f t="shared" si="5"/>
        <v>#Calc</v>
      </c>
      <c r="P14" s="16"/>
      <c r="Q14" s="58" t="e">
        <f t="shared" si="6"/>
        <v>#VALUE!</v>
      </c>
      <c r="R14" s="58" t="e">
        <f t="shared" si="6"/>
        <v>#VALUE!</v>
      </c>
      <c r="S14" s="58" t="e">
        <f t="shared" si="7"/>
        <v>#VALUE!</v>
      </c>
      <c r="T14" s="58" t="e">
        <f t="shared" si="7"/>
        <v>#VALUE!</v>
      </c>
      <c r="U14" s="57" t="e">
        <f t="shared" si="8"/>
        <v>#VALUE!</v>
      </c>
      <c r="V14" s="57" t="e">
        <f t="shared" si="8"/>
        <v>#VALUE!</v>
      </c>
      <c r="W14" s="16"/>
      <c r="X14" s="439" t="str">
        <f>_xll.FDS(B14,"FE_VALUATION(FFEV_SALES,MEAN,ANN,+1,NOW,,,'')")</f>
        <v>#Calc</v>
      </c>
      <c r="Y14" s="439" t="str">
        <f>_xll.FDS(B14,"FE_VALUATION(FFEV_SALES,MEAN,ANN,+2,NOW,,,'')")</f>
        <v>#Calc</v>
      </c>
      <c r="Z14" s="439" t="str">
        <f>_xll.FDS(B14,"FE_VALUATION(FFEV_EBITDA,MEAN,ANN,+1,NOW,,,'')")</f>
        <v>#Calc</v>
      </c>
      <c r="AA14" s="439" t="str">
        <f>_xll.FDS(B14,"FE_VALUATION(FFEV_EBITDA,MEAN,ANN,+2,NOW,,,'')")</f>
        <v>#Calc</v>
      </c>
      <c r="AB14" s="439" t="str">
        <f>_xll.FDS(B14,"FE_VALUATION(PE,MEAN,ANN,+1,NOW,,,'')")</f>
        <v>#Calc</v>
      </c>
      <c r="AC14" s="439" t="str">
        <f>_xll.FDS(B14,"FE_VALUATION(PE,MEAN,ANN,+2,NOW,,,'')")</f>
        <v>#Calc</v>
      </c>
    </row>
    <row r="15" spans="1:29" ht="15.75" customHeight="1" x14ac:dyDescent="0.2">
      <c r="A15" s="13">
        <f t="shared" si="9"/>
        <v>3</v>
      </c>
      <c r="B15" s="14" t="str">
        <f t="shared" si="0"/>
        <v>YUM-US</v>
      </c>
      <c r="C15" s="12" t="str">
        <f t="shared" si="1"/>
        <v>#Calc</v>
      </c>
      <c r="D15" s="59" t="str">
        <f t="shared" si="2"/>
        <v>#Calc</v>
      </c>
      <c r="E15" s="59" t="str">
        <f t="shared" si="2"/>
        <v>#Calc</v>
      </c>
      <c r="F15" s="59" t="e">
        <f t="shared" si="2"/>
        <v>#VALUE!</v>
      </c>
      <c r="G15" s="59" t="e">
        <f t="shared" si="2"/>
        <v>#VALUE!</v>
      </c>
      <c r="I15" s="59" t="str">
        <f t="shared" si="3"/>
        <v>#Calc</v>
      </c>
      <c r="J15" s="59" t="str">
        <f t="shared" si="3"/>
        <v>#Calc</v>
      </c>
      <c r="K15" s="59" t="str">
        <f t="shared" si="3"/>
        <v>#Calc</v>
      </c>
      <c r="L15" s="59" t="str">
        <f t="shared" si="3"/>
        <v>#Calc</v>
      </c>
      <c r="M15" s="59" t="str">
        <f t="shared" si="3"/>
        <v>#Calc</v>
      </c>
      <c r="N15" s="59" t="str">
        <f t="shared" si="4"/>
        <v>#Calc</v>
      </c>
      <c r="O15" s="59" t="str">
        <f t="shared" si="5"/>
        <v>#Calc</v>
      </c>
      <c r="P15" s="16"/>
      <c r="Q15" s="58" t="e">
        <f t="shared" si="6"/>
        <v>#VALUE!</v>
      </c>
      <c r="R15" s="58" t="e">
        <f t="shared" si="6"/>
        <v>#VALUE!</v>
      </c>
      <c r="S15" s="58" t="e">
        <f t="shared" si="7"/>
        <v>#VALUE!</v>
      </c>
      <c r="T15" s="58" t="e">
        <f t="shared" si="7"/>
        <v>#VALUE!</v>
      </c>
      <c r="U15" s="57" t="e">
        <f t="shared" si="8"/>
        <v>#VALUE!</v>
      </c>
      <c r="V15" s="57" t="e">
        <f t="shared" si="8"/>
        <v>#VALUE!</v>
      </c>
      <c r="W15" s="16"/>
      <c r="X15" s="439" t="str">
        <f>_xll.FDS(B15,"FE_VALUATION(FFEV_SALES,MEAN,ANN,+1,NOW,,,'')")</f>
        <v>#Calc</v>
      </c>
      <c r="Y15" s="439" t="str">
        <f>_xll.FDS(B15,"FE_VALUATION(FFEV_SALES,MEAN,ANN,+2,NOW,,,'')")</f>
        <v>#Calc</v>
      </c>
      <c r="Z15" s="439" t="str">
        <f>_xll.FDS(B15,"FE_VALUATION(FFEV_EBITDA,MEAN,ANN,+1,NOW,,,'')")</f>
        <v>#Calc</v>
      </c>
      <c r="AA15" s="439" t="str">
        <f>_xll.FDS(B15,"FE_VALUATION(FFEV_EBITDA,MEAN,ANN,+2,NOW,,,'')")</f>
        <v>#Calc</v>
      </c>
      <c r="AB15" s="439" t="str">
        <f>_xll.FDS(B15,"FE_VALUATION(PE,MEAN,ANN,+1,NOW,,,'')")</f>
        <v>#Calc</v>
      </c>
      <c r="AC15" s="439" t="str">
        <f>_xll.FDS(B15,"FE_VALUATION(PE,MEAN,ANN,+2,NOW,,,'')")</f>
        <v>#Calc</v>
      </c>
    </row>
    <row r="16" spans="1:29" ht="15.75" customHeight="1" x14ac:dyDescent="0.2">
      <c r="A16" s="13">
        <f t="shared" si="9"/>
        <v>4</v>
      </c>
      <c r="B16" s="14" t="str">
        <f t="shared" si="0"/>
        <v>MCD-US</v>
      </c>
      <c r="C16" s="12" t="str">
        <f t="shared" si="1"/>
        <v>#Calc</v>
      </c>
      <c r="D16" s="59" t="str">
        <f t="shared" si="2"/>
        <v>#Calc</v>
      </c>
      <c r="E16" s="59" t="str">
        <f t="shared" si="2"/>
        <v>#Calc</v>
      </c>
      <c r="F16" s="59" t="e">
        <f t="shared" si="2"/>
        <v>#VALUE!</v>
      </c>
      <c r="G16" s="59" t="e">
        <f t="shared" si="2"/>
        <v>#VALUE!</v>
      </c>
      <c r="I16" s="59" t="str">
        <f t="shared" si="3"/>
        <v>#Calc</v>
      </c>
      <c r="J16" s="59" t="str">
        <f t="shared" si="3"/>
        <v>#Calc</v>
      </c>
      <c r="K16" s="59" t="str">
        <f t="shared" si="3"/>
        <v>#Calc</v>
      </c>
      <c r="L16" s="59" t="str">
        <f t="shared" si="3"/>
        <v>#Calc</v>
      </c>
      <c r="M16" s="59" t="str">
        <f t="shared" si="3"/>
        <v>#Calc</v>
      </c>
      <c r="N16" s="59" t="str">
        <f t="shared" si="4"/>
        <v>#Calc</v>
      </c>
      <c r="O16" s="59" t="str">
        <f t="shared" si="5"/>
        <v>#Calc</v>
      </c>
      <c r="P16" s="16"/>
      <c r="Q16" s="58" t="e">
        <f t="shared" si="6"/>
        <v>#VALUE!</v>
      </c>
      <c r="R16" s="58" t="e">
        <f t="shared" si="6"/>
        <v>#VALUE!</v>
      </c>
      <c r="S16" s="58" t="e">
        <f t="shared" si="7"/>
        <v>#VALUE!</v>
      </c>
      <c r="T16" s="58" t="e">
        <f t="shared" si="7"/>
        <v>#VALUE!</v>
      </c>
      <c r="U16" s="57" t="e">
        <f t="shared" si="8"/>
        <v>#VALUE!</v>
      </c>
      <c r="V16" s="57" t="e">
        <f t="shared" si="8"/>
        <v>#VALUE!</v>
      </c>
      <c r="W16" s="16"/>
      <c r="X16" s="439" t="str">
        <f>_xll.FDS(B16,"FE_VALUATION(FFEV_SALES,MEAN,ANN,+1,NOW,,,'')")</f>
        <v>#Calc</v>
      </c>
      <c r="Y16" s="439" t="str">
        <f>_xll.FDS(B16,"FE_VALUATION(FFEV_SALES,MEAN,ANN,+2,NOW,,,'')")</f>
        <v>#Calc</v>
      </c>
      <c r="Z16" s="439" t="str">
        <f>_xll.FDS(B16,"FE_VALUATION(FFEV_EBITDA,MEAN,ANN,+1,NOW,,,'')")</f>
        <v>#Calc</v>
      </c>
      <c r="AA16" s="439" t="str">
        <f>_xll.FDS(B16,"FE_VALUATION(FFEV_EBITDA,MEAN,ANN,+2,NOW,,,'')")</f>
        <v>#Calc</v>
      </c>
      <c r="AB16" s="439" t="str">
        <f>_xll.FDS(B16,"FE_VALUATION(PE,MEAN,ANN,+1,NOW,,,'')")</f>
        <v>#Calc</v>
      </c>
      <c r="AC16" s="439" t="str">
        <f>_xll.FDS(B16,"FE_VALUATION(PE,MEAN,ANN,+2,NOW,,,'')")</f>
        <v>#Calc</v>
      </c>
    </row>
    <row r="17" spans="1:29" ht="15.75" customHeight="1" x14ac:dyDescent="0.2">
      <c r="A17" s="13">
        <f t="shared" si="9"/>
        <v>5</v>
      </c>
      <c r="B17" s="14" t="str">
        <f t="shared" si="0"/>
        <v>QSR-US</v>
      </c>
      <c r="C17" s="12" t="str">
        <f t="shared" si="1"/>
        <v>#Calc</v>
      </c>
      <c r="D17" s="59" t="str">
        <f t="shared" si="2"/>
        <v>#Calc</v>
      </c>
      <c r="E17" s="59" t="str">
        <f t="shared" si="2"/>
        <v>#Calc</v>
      </c>
      <c r="F17" s="59" t="e">
        <f t="shared" si="2"/>
        <v>#VALUE!</v>
      </c>
      <c r="G17" s="59" t="e">
        <f t="shared" si="2"/>
        <v>#VALUE!</v>
      </c>
      <c r="I17" s="59" t="str">
        <f t="shared" si="3"/>
        <v>#Calc</v>
      </c>
      <c r="J17" s="59" t="str">
        <f t="shared" si="3"/>
        <v>#Calc</v>
      </c>
      <c r="K17" s="59" t="str">
        <f t="shared" si="3"/>
        <v>#Calc</v>
      </c>
      <c r="L17" s="59" t="str">
        <f t="shared" si="3"/>
        <v>#Calc</v>
      </c>
      <c r="M17" s="59" t="str">
        <f t="shared" si="3"/>
        <v>#Calc</v>
      </c>
      <c r="N17" s="59" t="str">
        <f t="shared" si="4"/>
        <v>#Calc</v>
      </c>
      <c r="O17" s="59" t="str">
        <f t="shared" si="5"/>
        <v>#Calc</v>
      </c>
      <c r="P17" s="16"/>
      <c r="Q17" s="58" t="e">
        <f t="shared" si="6"/>
        <v>#VALUE!</v>
      </c>
      <c r="R17" s="58" t="e">
        <f t="shared" si="6"/>
        <v>#VALUE!</v>
      </c>
      <c r="S17" s="58" t="e">
        <f t="shared" si="7"/>
        <v>#VALUE!</v>
      </c>
      <c r="T17" s="58" t="e">
        <f t="shared" si="7"/>
        <v>#VALUE!</v>
      </c>
      <c r="U17" s="57" t="e">
        <f t="shared" si="8"/>
        <v>#VALUE!</v>
      </c>
      <c r="V17" s="57" t="e">
        <f t="shared" si="8"/>
        <v>#VALUE!</v>
      </c>
      <c r="W17" s="16"/>
      <c r="X17" s="439" t="str">
        <f>_xll.FDS(B17,"FE_VALUATION(FFEV_SALES,MEAN,ANN,+1,NOW,,,'')")</f>
        <v>#Calc</v>
      </c>
      <c r="Y17" s="439" t="str">
        <f>_xll.FDS(B17,"FE_VALUATION(FFEV_SALES,MEAN,ANN,+2,NOW,,,'')")</f>
        <v>#Calc</v>
      </c>
      <c r="Z17" s="439" t="str">
        <f>_xll.FDS(B17,"FE_VALUATION(FFEV_EBITDA,MEAN,ANN,+1,NOW,,,'')")</f>
        <v>#Calc</v>
      </c>
      <c r="AA17" s="439" t="str">
        <f>_xll.FDS(B17,"FE_VALUATION(FFEV_EBITDA,MEAN,ANN,+2,NOW,,,'')")</f>
        <v>#Calc</v>
      </c>
      <c r="AB17" s="439" t="str">
        <f>_xll.FDS(B17,"FE_VALUATION(PE,MEAN,ANN,+1,NOW,,,'')")</f>
        <v>#Calc</v>
      </c>
      <c r="AC17" s="439" t="str">
        <f>_xll.FDS(B17,"FE_VALUATION(PE,MEAN,ANN,+2,NOW,,,'')")</f>
        <v>#Calc</v>
      </c>
    </row>
    <row r="18" spans="1:29" ht="15.75" customHeight="1" x14ac:dyDescent="0.2">
      <c r="A18" s="13">
        <f t="shared" si="9"/>
        <v>6</v>
      </c>
      <c r="B18" s="14" t="str">
        <f t="shared" si="0"/>
        <v>DPZ-US</v>
      </c>
      <c r="C18" s="12" t="str">
        <f t="shared" si="1"/>
        <v>#Calc</v>
      </c>
      <c r="D18" s="59" t="str">
        <f t="shared" si="2"/>
        <v>#Calc</v>
      </c>
      <c r="E18" s="59" t="str">
        <f t="shared" si="2"/>
        <v>#Calc</v>
      </c>
      <c r="F18" s="59" t="e">
        <f t="shared" si="2"/>
        <v>#VALUE!</v>
      </c>
      <c r="G18" s="59" t="e">
        <f t="shared" si="2"/>
        <v>#VALUE!</v>
      </c>
      <c r="I18" s="59" t="str">
        <f t="shared" si="3"/>
        <v>#Calc</v>
      </c>
      <c r="J18" s="59" t="str">
        <f t="shared" si="3"/>
        <v>#Calc</v>
      </c>
      <c r="K18" s="59" t="str">
        <f t="shared" si="3"/>
        <v>#Calc</v>
      </c>
      <c r="L18" s="59" t="str">
        <f t="shared" si="3"/>
        <v>#Calc</v>
      </c>
      <c r="M18" s="59" t="str">
        <f t="shared" si="3"/>
        <v>#Calc</v>
      </c>
      <c r="N18" s="59" t="str">
        <f t="shared" si="4"/>
        <v>#Calc</v>
      </c>
      <c r="O18" s="59" t="str">
        <f t="shared" si="5"/>
        <v>#Calc</v>
      </c>
      <c r="P18" s="16"/>
      <c r="Q18" s="58" t="e">
        <f t="shared" si="6"/>
        <v>#VALUE!</v>
      </c>
      <c r="R18" s="58" t="e">
        <f t="shared" si="6"/>
        <v>#VALUE!</v>
      </c>
      <c r="S18" s="58" t="e">
        <f t="shared" si="7"/>
        <v>#VALUE!</v>
      </c>
      <c r="T18" s="58" t="e">
        <f t="shared" si="7"/>
        <v>#VALUE!</v>
      </c>
      <c r="U18" s="57" t="e">
        <f t="shared" si="8"/>
        <v>#VALUE!</v>
      </c>
      <c r="V18" s="57" t="e">
        <f t="shared" si="8"/>
        <v>#VALUE!</v>
      </c>
      <c r="W18" s="16"/>
      <c r="X18" s="439" t="str">
        <f>_xll.FDS(B18,"FE_VALUATION(FFEV_SALES,MEAN,ANN,+1,NOW,,,'')")</f>
        <v>#Calc</v>
      </c>
      <c r="Y18" s="439" t="str">
        <f>_xll.FDS(B18,"FE_VALUATION(FFEV_SALES,MEAN,ANN,+2,NOW,,,'')")</f>
        <v>#Calc</v>
      </c>
      <c r="Z18" s="439" t="str">
        <f>_xll.FDS(B18,"FE_VALUATION(FFEV_EBITDA,MEAN,ANN,+1,NOW,,,'')")</f>
        <v>#Calc</v>
      </c>
      <c r="AA18" s="439" t="str">
        <f>_xll.FDS(B18,"FE_VALUATION(FFEV_EBITDA,MEAN,ANN,+2,NOW,,,'')")</f>
        <v>#Calc</v>
      </c>
      <c r="AB18" s="439" t="str">
        <f>_xll.FDS(B18,"FE_VALUATION(PE,MEAN,ANN,+1,NOW,,,'')")</f>
        <v>#Calc</v>
      </c>
      <c r="AC18" s="439" t="str">
        <f>_xll.FDS(B18,"FE_VALUATION(PE,MEAN,ANN,+2,NOW,,,'')")</f>
        <v>#Calc</v>
      </c>
    </row>
    <row r="19" spans="1:29" ht="15.75" customHeight="1" x14ac:dyDescent="0.2">
      <c r="A19" s="13">
        <f t="shared" si="9"/>
        <v>7</v>
      </c>
      <c r="B19" s="14" t="str">
        <f t="shared" si="0"/>
        <v>DRI-US</v>
      </c>
      <c r="C19" s="12" t="str">
        <f t="shared" si="1"/>
        <v>#Calc</v>
      </c>
      <c r="D19" s="59" t="str">
        <f t="shared" si="2"/>
        <v>#Calc</v>
      </c>
      <c r="E19" s="59" t="str">
        <f t="shared" si="2"/>
        <v>#Calc</v>
      </c>
      <c r="F19" s="59" t="e">
        <f t="shared" si="2"/>
        <v>#VALUE!</v>
      </c>
      <c r="G19" s="59" t="e">
        <f t="shared" si="2"/>
        <v>#VALUE!</v>
      </c>
      <c r="I19" s="59" t="str">
        <f t="shared" si="3"/>
        <v>#Calc</v>
      </c>
      <c r="J19" s="59" t="str">
        <f t="shared" si="3"/>
        <v>#Calc</v>
      </c>
      <c r="K19" s="59" t="str">
        <f t="shared" si="3"/>
        <v>#Calc</v>
      </c>
      <c r="L19" s="59" t="str">
        <f t="shared" si="3"/>
        <v>#Calc</v>
      </c>
      <c r="M19" s="59" t="str">
        <f t="shared" si="3"/>
        <v>#Calc</v>
      </c>
      <c r="N19" s="59" t="str">
        <f t="shared" si="4"/>
        <v>#Calc</v>
      </c>
      <c r="O19" s="59" t="str">
        <f t="shared" si="5"/>
        <v>#Calc</v>
      </c>
      <c r="P19" s="16"/>
      <c r="Q19" s="58" t="e">
        <f t="shared" si="6"/>
        <v>#VALUE!</v>
      </c>
      <c r="R19" s="58" t="e">
        <f t="shared" si="6"/>
        <v>#VALUE!</v>
      </c>
      <c r="S19" s="58" t="e">
        <f t="shared" si="7"/>
        <v>#VALUE!</v>
      </c>
      <c r="T19" s="58" t="e">
        <f t="shared" si="7"/>
        <v>#VALUE!</v>
      </c>
      <c r="U19" s="57" t="e">
        <f t="shared" si="8"/>
        <v>#VALUE!</v>
      </c>
      <c r="V19" s="57" t="e">
        <f t="shared" si="8"/>
        <v>#VALUE!</v>
      </c>
      <c r="W19" s="16"/>
      <c r="X19" s="439" t="str">
        <f>_xll.FDS(B19,"FE_VALUATION(FFEV_SALES,MEAN,ANN,+1,NOW,,,'')")</f>
        <v>#Calc</v>
      </c>
      <c r="Y19" s="439" t="str">
        <f>_xll.FDS(B19,"FE_VALUATION(FFEV_SALES,MEAN,ANN,+2,NOW,,,'')")</f>
        <v>#Calc</v>
      </c>
      <c r="Z19" s="439" t="str">
        <f>_xll.FDS(B19,"FE_VALUATION(FFEV_EBITDA,MEAN,ANN,+1,NOW,,,'')")</f>
        <v>#Calc</v>
      </c>
      <c r="AA19" s="439" t="str">
        <f>_xll.FDS(B19,"FE_VALUATION(FFEV_EBITDA,MEAN,ANN,+2,NOW,,,'')")</f>
        <v>#Calc</v>
      </c>
      <c r="AB19" s="439" t="str">
        <f>_xll.FDS(B19,"FE_VALUATION(PE,MEAN,ANN,+1,NOW,,,'')")</f>
        <v>#Calc</v>
      </c>
      <c r="AC19" s="439" t="str">
        <f>_xll.FDS(B19,"FE_VALUATION(PE,MEAN,ANN,+2,NOW,,,'')")</f>
        <v>#Calc</v>
      </c>
    </row>
    <row r="20" spans="1:29" ht="5.25" customHeight="1" x14ac:dyDescent="0.2">
      <c r="B20" s="14"/>
      <c r="D20" s="13"/>
      <c r="E20" s="13"/>
      <c r="F20" s="17"/>
      <c r="G20" s="17"/>
      <c r="I20" s="16"/>
      <c r="J20" s="16"/>
      <c r="K20" s="16"/>
      <c r="L20" s="16"/>
      <c r="M20" s="16"/>
      <c r="N20" s="16"/>
      <c r="O20" s="16"/>
      <c r="P20" s="16"/>
      <c r="Q20" s="16"/>
      <c r="R20" s="16"/>
      <c r="S20" s="16"/>
      <c r="T20" s="16"/>
      <c r="U20" s="16"/>
      <c r="V20" s="16"/>
      <c r="W20" s="16"/>
      <c r="X20" s="439"/>
      <c r="Y20" s="439"/>
      <c r="Z20" s="439"/>
      <c r="AA20" s="439"/>
      <c r="AB20" s="439"/>
      <c r="AC20" s="439"/>
    </row>
    <row r="21" spans="1:29" outlineLevel="1" x14ac:dyDescent="0.2">
      <c r="B21" s="56" t="s">
        <v>135</v>
      </c>
      <c r="C21" s="55"/>
      <c r="D21" s="55"/>
      <c r="E21" s="55"/>
      <c r="F21" s="55"/>
      <c r="G21" s="55"/>
      <c r="H21" s="54"/>
      <c r="I21" s="54"/>
      <c r="J21" s="54"/>
      <c r="K21" s="54"/>
      <c r="L21" s="54"/>
      <c r="M21" s="54"/>
      <c r="N21" s="54"/>
      <c r="O21" s="54"/>
      <c r="P21" s="54"/>
      <c r="Q21" s="54" t="e">
        <f t="shared" ref="Q21:U21" si="10">AVERAGE(Q13:Q19)</f>
        <v>#VALUE!</v>
      </c>
      <c r="R21" s="54" t="e">
        <f t="shared" si="10"/>
        <v>#VALUE!</v>
      </c>
      <c r="S21" s="54" t="e">
        <f t="shared" si="10"/>
        <v>#VALUE!</v>
      </c>
      <c r="T21" s="54" t="e">
        <f t="shared" si="10"/>
        <v>#VALUE!</v>
      </c>
      <c r="U21" s="54" t="e">
        <f t="shared" si="10"/>
        <v>#VALUE!</v>
      </c>
      <c r="V21" s="54" t="e">
        <f>AVERAGE(V13:V19)</f>
        <v>#VALUE!</v>
      </c>
      <c r="W21" s="54"/>
      <c r="X21" s="440" t="e">
        <f>AVERAGE(X10:X19)</f>
        <v>#DIV/0!</v>
      </c>
      <c r="Y21" s="440" t="e">
        <f t="shared" ref="Y21:AA21" si="11">AVERAGE(Y10:Y19)</f>
        <v>#DIV/0!</v>
      </c>
      <c r="Z21" s="440" t="e">
        <f t="shared" si="11"/>
        <v>#DIV/0!</v>
      </c>
      <c r="AA21" s="440" t="e">
        <f t="shared" si="11"/>
        <v>#DIV/0!</v>
      </c>
      <c r="AB21" s="440" t="e">
        <f>AVERAGE(AB10:AB19)</f>
        <v>#DIV/0!</v>
      </c>
      <c r="AC21" s="440" t="e">
        <f>AVERAGE(AC10:AC19)</f>
        <v>#DIV/0!</v>
      </c>
    </row>
    <row r="22" spans="1:29" outlineLevel="1" x14ac:dyDescent="0.2">
      <c r="B22" s="53" t="s">
        <v>134</v>
      </c>
      <c r="C22" s="52"/>
      <c r="D22" s="52"/>
      <c r="E22" s="52"/>
      <c r="F22" s="52"/>
      <c r="G22" s="52"/>
      <c r="H22" s="51"/>
      <c r="I22" s="51"/>
      <c r="J22" s="51"/>
      <c r="K22" s="51"/>
      <c r="L22" s="51"/>
      <c r="M22" s="51"/>
      <c r="N22" s="51"/>
      <c r="O22" s="51"/>
      <c r="P22" s="51"/>
      <c r="Q22" s="51" t="e">
        <f t="shared" ref="Q22:V22" si="12">MEDIAN(Q13:Q19)</f>
        <v>#VALUE!</v>
      </c>
      <c r="R22" s="51" t="e">
        <f t="shared" si="12"/>
        <v>#VALUE!</v>
      </c>
      <c r="S22" s="51" t="e">
        <f t="shared" si="12"/>
        <v>#VALUE!</v>
      </c>
      <c r="T22" s="51" t="e">
        <f t="shared" si="12"/>
        <v>#VALUE!</v>
      </c>
      <c r="U22" s="51" t="e">
        <f t="shared" si="12"/>
        <v>#VALUE!</v>
      </c>
      <c r="V22" s="51" t="e">
        <f t="shared" si="12"/>
        <v>#VALUE!</v>
      </c>
      <c r="W22" s="51"/>
      <c r="X22" s="441" t="e">
        <f t="shared" ref="X22:AC22" si="13">MEDIAN(X10:X19)</f>
        <v>#NUM!</v>
      </c>
      <c r="Y22" s="441" t="e">
        <f t="shared" si="13"/>
        <v>#NUM!</v>
      </c>
      <c r="Z22" s="441" t="e">
        <f t="shared" si="13"/>
        <v>#NUM!</v>
      </c>
      <c r="AA22" s="441" t="e">
        <f t="shared" si="13"/>
        <v>#NUM!</v>
      </c>
      <c r="AB22" s="441" t="e">
        <f t="shared" si="13"/>
        <v>#NUM!</v>
      </c>
      <c r="AC22" s="441" t="e">
        <f t="shared" si="13"/>
        <v>#NUM!</v>
      </c>
    </row>
    <row r="23" spans="1:29" ht="15.75" customHeight="1" outlineLevel="1" x14ac:dyDescent="0.2">
      <c r="B23" s="42"/>
      <c r="C23" s="42"/>
      <c r="D23" s="29"/>
      <c r="E23" s="29"/>
      <c r="F23" s="29"/>
      <c r="G23" s="29"/>
      <c r="I23" s="29"/>
      <c r="J23" s="29"/>
      <c r="K23" s="29"/>
      <c r="L23" s="29"/>
      <c r="M23" s="29"/>
      <c r="N23" s="29"/>
      <c r="O23" s="29"/>
      <c r="P23" s="29"/>
      <c r="Q23" s="18"/>
      <c r="R23" s="18"/>
      <c r="S23" s="18"/>
      <c r="T23" s="18"/>
      <c r="U23" s="18"/>
      <c r="V23" s="18"/>
      <c r="W23" s="18"/>
      <c r="X23" s="18"/>
      <c r="Y23" s="18"/>
      <c r="Z23" s="18"/>
      <c r="AA23" s="18"/>
      <c r="AB23" s="18"/>
      <c r="AC23" s="18"/>
    </row>
    <row r="24" spans="1:29" ht="15.75" customHeight="1" outlineLevel="1" x14ac:dyDescent="0.2">
      <c r="A24" s="50"/>
      <c r="B24" s="27"/>
      <c r="C24" s="27"/>
      <c r="D24" s="26" t="s">
        <v>145</v>
      </c>
      <c r="E24" s="26"/>
      <c r="F24" s="26"/>
      <c r="G24" s="25"/>
      <c r="H24" s="26" t="s">
        <v>144</v>
      </c>
      <c r="I24" s="26"/>
      <c r="J24" s="26"/>
      <c r="K24" s="25"/>
      <c r="L24" s="26" t="s">
        <v>143</v>
      </c>
      <c r="M24" s="26"/>
      <c r="N24" s="26"/>
      <c r="O24" s="25"/>
      <c r="P24" s="25"/>
      <c r="Q24" s="26"/>
      <c r="R24" s="26"/>
      <c r="S24" s="26"/>
      <c r="T24" s="26" t="s">
        <v>142</v>
      </c>
      <c r="U24" s="26"/>
      <c r="V24" s="26"/>
      <c r="W24" s="25"/>
      <c r="X24" s="26" t="s">
        <v>141</v>
      </c>
      <c r="Y24" s="26"/>
      <c r="Z24" s="26"/>
      <c r="AA24" s="25"/>
      <c r="AB24" s="25"/>
      <c r="AC24" s="25"/>
    </row>
    <row r="25" spans="1:29" ht="15.75" customHeight="1" outlineLevel="1" x14ac:dyDescent="0.2">
      <c r="B25" s="24" t="s">
        <v>140</v>
      </c>
      <c r="C25" s="24"/>
      <c r="D25" s="22" t="s">
        <v>126</v>
      </c>
      <c r="E25" s="22" t="s">
        <v>125</v>
      </c>
      <c r="F25" s="22" t="s">
        <v>139</v>
      </c>
      <c r="G25" s="22"/>
      <c r="H25" s="22" t="s">
        <v>126</v>
      </c>
      <c r="I25" s="22" t="s">
        <v>125</v>
      </c>
      <c r="J25" s="22" t="s">
        <v>138</v>
      </c>
      <c r="K25" s="22"/>
      <c r="L25" s="22" t="s">
        <v>126</v>
      </c>
      <c r="M25" s="22" t="s">
        <v>125</v>
      </c>
      <c r="N25" s="22" t="s">
        <v>124</v>
      </c>
      <c r="O25" s="22"/>
      <c r="P25" s="22" t="s">
        <v>117</v>
      </c>
      <c r="Q25" s="22" t="s">
        <v>116</v>
      </c>
      <c r="R25" s="22" t="s">
        <v>137</v>
      </c>
      <c r="S25" s="22"/>
      <c r="T25" s="22" t="s">
        <v>126</v>
      </c>
      <c r="U25" s="22" t="s">
        <v>125</v>
      </c>
      <c r="V25" s="22" t="s">
        <v>124</v>
      </c>
      <c r="W25" s="22"/>
      <c r="X25" s="22" t="s">
        <v>126</v>
      </c>
      <c r="Y25" s="22" t="s">
        <v>125</v>
      </c>
      <c r="Z25" s="22" t="s">
        <v>124</v>
      </c>
      <c r="AA25" s="22"/>
      <c r="AB25" s="22"/>
      <c r="AC25" s="22"/>
    </row>
    <row r="26" spans="1:29" ht="15.75" customHeight="1" outlineLevel="1" x14ac:dyDescent="0.2">
      <c r="B26" s="42" t="s">
        <v>136</v>
      </c>
      <c r="C26" s="42"/>
      <c r="D26" s="41">
        <f>MIN(Y13:Y19)</f>
        <v>0</v>
      </c>
      <c r="E26" s="41">
        <f>MIN(AA13:AA19)</f>
        <v>0</v>
      </c>
      <c r="F26" s="41">
        <f>MIN(AC13:AC19)</f>
        <v>0</v>
      </c>
      <c r="G26" s="29"/>
      <c r="H26" s="17" t="str">
        <f>K11</f>
        <v>#Calc</v>
      </c>
      <c r="I26" s="17" t="str">
        <f>M11</f>
        <v>#Calc</v>
      </c>
      <c r="J26" s="46" t="str" cm="1">
        <f t="array" ref="J26">_xll.FDS(B36,"FF_EPS(ANN_R,NOW)")</f>
        <v>#Calc</v>
      </c>
      <c r="L26" s="17" t="e">
        <f t="shared" ref="L26:M29" si="14">H26*D26</f>
        <v>#VALUE!</v>
      </c>
      <c r="M26" s="17" t="e">
        <f t="shared" si="14"/>
        <v>#VALUE!</v>
      </c>
      <c r="N26" s="17" t="s">
        <v>132</v>
      </c>
      <c r="P26" s="45" t="str">
        <f t="array" ref="P26">_xll.FDS(B36,"FF_CASH_ST(QTR_R,0)")</f>
        <v>#Calc</v>
      </c>
      <c r="Q26" s="45" t="str">
        <f t="array" ref="Q26">_xll.FDS(B36,"FF_DEBT(QTR_R,0)")</f>
        <v>#Calc</v>
      </c>
      <c r="R26" s="49" t="str" cm="1">
        <f t="array" ref="R26">_xll.FDS(B36,"FREF_SHARES_COMPANY(0,,,,0,""LEGACY"")")</f>
        <v>#Calc</v>
      </c>
      <c r="S26" s="48"/>
      <c r="T26" s="44" t="e">
        <f>L26+P26-Q26</f>
        <v>#VALUE!</v>
      </c>
      <c r="U26" s="44" t="e">
        <f>M26+P26-Q26</f>
        <v>#VALUE!</v>
      </c>
      <c r="V26" s="44" t="e">
        <f>F26*J26*R26</f>
        <v>#VALUE!</v>
      </c>
      <c r="W26" s="18"/>
      <c r="X26" s="43" t="e">
        <f t="shared" ref="X26:Z29" si="15">T26/$R26</f>
        <v>#VALUE!</v>
      </c>
      <c r="Y26" s="43" t="e">
        <f t="shared" si="15"/>
        <v>#VALUE!</v>
      </c>
      <c r="Z26" s="43" t="e">
        <f>V26/$R26</f>
        <v>#VALUE!</v>
      </c>
      <c r="AB26" s="18"/>
      <c r="AC26" s="18"/>
    </row>
    <row r="27" spans="1:29" ht="15.75" customHeight="1" outlineLevel="1" x14ac:dyDescent="0.2">
      <c r="B27" s="42" t="s">
        <v>135</v>
      </c>
      <c r="C27" s="42"/>
      <c r="D27" s="41" t="e">
        <f>Y21</f>
        <v>#DIV/0!</v>
      </c>
      <c r="E27" s="41" t="e">
        <f>AA21</f>
        <v>#DIV/0!</v>
      </c>
      <c r="F27" s="41" t="e">
        <f>AC21</f>
        <v>#DIV/0!</v>
      </c>
      <c r="G27" s="29"/>
      <c r="H27" s="47" t="str">
        <f t="shared" ref="H27:J29" si="16">H26</f>
        <v>#Calc</v>
      </c>
      <c r="I27" s="47" t="str">
        <f t="shared" si="16"/>
        <v>#Calc</v>
      </c>
      <c r="J27" s="46" t="str">
        <f t="shared" si="16"/>
        <v>#Calc</v>
      </c>
      <c r="K27" s="17"/>
      <c r="L27" s="17" t="e">
        <f>H27*D27</f>
        <v>#VALUE!</v>
      </c>
      <c r="M27" s="17" t="e">
        <f t="shared" si="14"/>
        <v>#VALUE!</v>
      </c>
      <c r="N27" s="17" t="s">
        <v>132</v>
      </c>
      <c r="P27" s="45" t="str">
        <f t="shared" ref="P27:R29" si="17">P26</f>
        <v>#Calc</v>
      </c>
      <c r="Q27" s="45" t="str">
        <f t="shared" si="17"/>
        <v>#Calc</v>
      </c>
      <c r="R27" s="45" t="str">
        <f>R26</f>
        <v>#Calc</v>
      </c>
      <c r="T27" s="44" t="e">
        <f>L27+P27-Q27</f>
        <v>#VALUE!</v>
      </c>
      <c r="U27" s="44" t="e">
        <f>M27+P27-Q27</f>
        <v>#VALUE!</v>
      </c>
      <c r="V27" s="44" t="e">
        <f>F27*J27*R27</f>
        <v>#DIV/0!</v>
      </c>
      <c r="W27" s="18"/>
      <c r="X27" s="43" t="e">
        <f t="shared" si="15"/>
        <v>#VALUE!</v>
      </c>
      <c r="Y27" s="43" t="e">
        <f t="shared" si="15"/>
        <v>#VALUE!</v>
      </c>
      <c r="Z27" s="43" t="e">
        <f t="shared" si="15"/>
        <v>#DIV/0!</v>
      </c>
      <c r="AA27" s="18"/>
      <c r="AB27" s="18"/>
      <c r="AC27" s="18"/>
    </row>
    <row r="28" spans="1:29" ht="15.75" customHeight="1" outlineLevel="1" x14ac:dyDescent="0.2">
      <c r="B28" s="42" t="s">
        <v>134</v>
      </c>
      <c r="C28" s="42"/>
      <c r="D28" s="41" t="e">
        <f>Y22</f>
        <v>#NUM!</v>
      </c>
      <c r="E28" s="41" t="e">
        <f>AA22</f>
        <v>#NUM!</v>
      </c>
      <c r="F28" s="41" t="e">
        <f>AC22</f>
        <v>#NUM!</v>
      </c>
      <c r="G28" s="29"/>
      <c r="H28" s="47" t="str">
        <f t="shared" si="16"/>
        <v>#Calc</v>
      </c>
      <c r="I28" s="47" t="str">
        <f t="shared" si="16"/>
        <v>#Calc</v>
      </c>
      <c r="J28" s="46" t="str">
        <f t="shared" si="16"/>
        <v>#Calc</v>
      </c>
      <c r="K28" s="17"/>
      <c r="L28" s="17" t="e">
        <f t="shared" si="14"/>
        <v>#VALUE!</v>
      </c>
      <c r="M28" s="17" t="e">
        <f t="shared" si="14"/>
        <v>#VALUE!</v>
      </c>
      <c r="N28" s="17" t="s">
        <v>132</v>
      </c>
      <c r="P28" s="45" t="str">
        <f t="shared" si="17"/>
        <v>#Calc</v>
      </c>
      <c r="Q28" s="45" t="str">
        <f t="shared" si="17"/>
        <v>#Calc</v>
      </c>
      <c r="R28" s="45" t="str">
        <f t="shared" si="17"/>
        <v>#Calc</v>
      </c>
      <c r="T28" s="44" t="e">
        <f>L28+P28-Q28</f>
        <v>#VALUE!</v>
      </c>
      <c r="U28" s="44" t="e">
        <f>M28+P28-Q28</f>
        <v>#VALUE!</v>
      </c>
      <c r="V28" s="44" t="e">
        <f>F28*J28*R28</f>
        <v>#NUM!</v>
      </c>
      <c r="W28" s="18"/>
      <c r="X28" s="43" t="e">
        <f t="shared" si="15"/>
        <v>#VALUE!</v>
      </c>
      <c r="Y28" s="43" t="e">
        <f>U28/$R28</f>
        <v>#VALUE!</v>
      </c>
      <c r="Z28" s="43" t="e">
        <f t="shared" si="15"/>
        <v>#NUM!</v>
      </c>
      <c r="AA28" s="18"/>
      <c r="AB28" s="18"/>
      <c r="AC28" s="18"/>
    </row>
    <row r="29" spans="1:29" ht="15.75" customHeight="1" outlineLevel="1" x14ac:dyDescent="0.2">
      <c r="B29" s="42" t="s">
        <v>133</v>
      </c>
      <c r="C29" s="42"/>
      <c r="D29" s="41">
        <f>MAX(Y13:Y19)</f>
        <v>0</v>
      </c>
      <c r="E29" s="41">
        <f>MAX(AA13:AA19)</f>
        <v>0</v>
      </c>
      <c r="F29" s="41">
        <f>MAX(AC13:AC19)</f>
        <v>0</v>
      </c>
      <c r="G29" s="29"/>
      <c r="H29" s="47" t="str">
        <f t="shared" si="16"/>
        <v>#Calc</v>
      </c>
      <c r="I29" s="47" t="str">
        <f t="shared" si="16"/>
        <v>#Calc</v>
      </c>
      <c r="J29" s="46" t="str">
        <f t="shared" si="16"/>
        <v>#Calc</v>
      </c>
      <c r="K29" s="17"/>
      <c r="L29" s="17" t="e">
        <f t="shared" si="14"/>
        <v>#VALUE!</v>
      </c>
      <c r="M29" s="17" t="e">
        <f t="shared" si="14"/>
        <v>#VALUE!</v>
      </c>
      <c r="N29" s="17" t="s">
        <v>132</v>
      </c>
      <c r="P29" s="45" t="str">
        <f t="shared" si="17"/>
        <v>#Calc</v>
      </c>
      <c r="Q29" s="45" t="str">
        <f t="shared" si="17"/>
        <v>#Calc</v>
      </c>
      <c r="R29" s="45" t="str">
        <f t="shared" si="17"/>
        <v>#Calc</v>
      </c>
      <c r="T29" s="44" t="e">
        <f>L29+P29-Q29</f>
        <v>#VALUE!</v>
      </c>
      <c r="U29" s="44" t="e">
        <f>M29+P29-Q29</f>
        <v>#VALUE!</v>
      </c>
      <c r="V29" s="44" t="e">
        <f>F29*J29*R29</f>
        <v>#VALUE!</v>
      </c>
      <c r="W29" s="18"/>
      <c r="X29" s="43" t="e">
        <f t="shared" si="15"/>
        <v>#VALUE!</v>
      </c>
      <c r="Y29" s="43" t="e">
        <f t="shared" si="15"/>
        <v>#VALUE!</v>
      </c>
      <c r="Z29" s="43" t="e">
        <f t="shared" si="15"/>
        <v>#VALUE!</v>
      </c>
      <c r="AA29" s="18"/>
      <c r="AB29" s="18"/>
      <c r="AC29" s="18"/>
    </row>
    <row r="30" spans="1:29" ht="15.75" customHeight="1" outlineLevel="1" x14ac:dyDescent="0.2">
      <c r="B30" s="42"/>
      <c r="C30" s="42"/>
      <c r="D30" s="41"/>
      <c r="E30" s="41"/>
      <c r="F30" s="41"/>
      <c r="G30" s="29"/>
      <c r="H30" s="13"/>
      <c r="I30" s="17"/>
      <c r="J30" s="17"/>
      <c r="K30" s="17"/>
      <c r="L30" s="17"/>
      <c r="M30" s="17"/>
      <c r="N30" s="17"/>
      <c r="P30" s="17"/>
      <c r="Q30" s="17"/>
      <c r="R30" s="40"/>
      <c r="U30" s="18"/>
      <c r="V30" s="18"/>
      <c r="W30" s="18"/>
      <c r="X30" s="18"/>
      <c r="Y30" s="18"/>
      <c r="Z30" s="18"/>
      <c r="AA30" s="18"/>
      <c r="AB30" s="18"/>
      <c r="AC30" s="18"/>
    </row>
    <row r="31" spans="1:29" s="32" customFormat="1" ht="15.75" customHeight="1" outlineLevel="1" x14ac:dyDescent="0.2">
      <c r="A31" s="36"/>
      <c r="B31" s="39" t="s">
        <v>131</v>
      </c>
      <c r="C31" s="39"/>
      <c r="D31" s="38"/>
      <c r="E31" s="38"/>
      <c r="F31" s="38"/>
      <c r="G31" s="37"/>
      <c r="H31" s="36"/>
      <c r="I31" s="35"/>
      <c r="J31" s="35"/>
      <c r="K31" s="35"/>
      <c r="L31" s="35"/>
      <c r="M31" s="35"/>
      <c r="N31" s="35"/>
      <c r="P31" s="35"/>
      <c r="Q31" s="35"/>
      <c r="R31" s="34"/>
      <c r="U31" s="33"/>
      <c r="V31" s="33"/>
      <c r="W31" s="33"/>
      <c r="X31" s="33"/>
      <c r="Y31" s="33"/>
      <c r="Z31" s="33"/>
      <c r="AA31" s="33"/>
      <c r="AB31" s="33"/>
      <c r="AC31" s="33"/>
    </row>
    <row r="32" spans="1:29" ht="15.75" customHeight="1" x14ac:dyDescent="0.2">
      <c r="B32" s="30">
        <v>1</v>
      </c>
      <c r="C32" s="30">
        <f t="shared" ref="C32:O32" si="18">B32+1</f>
        <v>2</v>
      </c>
      <c r="D32" s="31">
        <f t="shared" si="18"/>
        <v>3</v>
      </c>
      <c r="E32" s="31">
        <f t="shared" si="18"/>
        <v>4</v>
      </c>
      <c r="F32" s="31">
        <f t="shared" si="18"/>
        <v>5</v>
      </c>
      <c r="G32" s="31">
        <f t="shared" si="18"/>
        <v>6</v>
      </c>
      <c r="H32" s="30">
        <f t="shared" si="18"/>
        <v>7</v>
      </c>
      <c r="I32" s="30">
        <f t="shared" si="18"/>
        <v>8</v>
      </c>
      <c r="J32" s="31">
        <f t="shared" si="18"/>
        <v>9</v>
      </c>
      <c r="K32" s="31">
        <f t="shared" si="18"/>
        <v>10</v>
      </c>
      <c r="L32" s="31">
        <f t="shared" si="18"/>
        <v>11</v>
      </c>
      <c r="M32" s="31">
        <f t="shared" si="18"/>
        <v>12</v>
      </c>
      <c r="N32" s="30">
        <f t="shared" si="18"/>
        <v>13</v>
      </c>
      <c r="O32" s="30">
        <f t="shared" si="18"/>
        <v>14</v>
      </c>
      <c r="P32" s="29"/>
      <c r="Q32" s="18"/>
      <c r="R32" s="18"/>
      <c r="S32" s="18"/>
      <c r="T32" s="18"/>
      <c r="U32" s="18"/>
      <c r="V32" s="18"/>
      <c r="W32" s="18"/>
      <c r="X32" s="18"/>
      <c r="Y32" s="18"/>
      <c r="Z32" s="18"/>
      <c r="AA32" s="18"/>
      <c r="AB32" s="18"/>
      <c r="AC32" s="18"/>
    </row>
    <row r="33" spans="2:29" ht="15.75" customHeight="1" x14ac:dyDescent="0.2">
      <c r="B33" s="27"/>
      <c r="C33" s="28"/>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row>
    <row r="34" spans="2:29" ht="15.75" customHeight="1" x14ac:dyDescent="0.2">
      <c r="B34" s="27"/>
      <c r="C34" s="27"/>
      <c r="D34" s="25" t="s">
        <v>130</v>
      </c>
      <c r="E34" s="25" t="s">
        <v>129</v>
      </c>
      <c r="F34" s="25" t="s">
        <v>128</v>
      </c>
      <c r="G34" s="25" t="s">
        <v>127</v>
      </c>
      <c r="H34" s="25"/>
      <c r="I34" s="25"/>
      <c r="J34" s="26"/>
      <c r="K34" s="26" t="s">
        <v>126</v>
      </c>
      <c r="L34" s="26"/>
      <c r="M34" s="26"/>
      <c r="N34" s="26" t="s">
        <v>125</v>
      </c>
      <c r="O34" s="26"/>
      <c r="P34" s="26" t="s">
        <v>124</v>
      </c>
      <c r="Q34" s="26"/>
      <c r="R34" s="25"/>
      <c r="S34" s="25"/>
      <c r="T34" s="25"/>
      <c r="U34" s="25"/>
      <c r="V34" s="25"/>
      <c r="W34" s="25"/>
      <c r="X34" s="25"/>
      <c r="Y34" s="25"/>
      <c r="Z34" s="25"/>
      <c r="AA34" s="25"/>
      <c r="AB34" s="25"/>
      <c r="AC34" s="25"/>
    </row>
    <row r="35" spans="2:29" ht="15.75" customHeight="1" x14ac:dyDescent="0.2">
      <c r="B35" s="24" t="s">
        <v>123</v>
      </c>
      <c r="C35" s="24" t="s">
        <v>122</v>
      </c>
      <c r="D35" s="22" t="s">
        <v>121</v>
      </c>
      <c r="E35" s="22" t="s">
        <v>120</v>
      </c>
      <c r="F35" s="22" t="s">
        <v>119</v>
      </c>
      <c r="G35" s="22" t="s">
        <v>118</v>
      </c>
      <c r="H35" s="22" t="s">
        <v>117</v>
      </c>
      <c r="I35" s="22" t="s">
        <v>116</v>
      </c>
      <c r="J35" s="23"/>
      <c r="K35" s="23" t="s">
        <v>115</v>
      </c>
      <c r="L35" s="23" t="s">
        <v>114</v>
      </c>
      <c r="M35" s="23" t="s">
        <v>113</v>
      </c>
      <c r="N35" s="23" t="s">
        <v>112</v>
      </c>
      <c r="O35" s="23" t="s">
        <v>111</v>
      </c>
      <c r="P35" s="23" t="str">
        <f>N35</f>
        <v>'22</v>
      </c>
      <c r="Q35" s="23" t="str">
        <f>O35</f>
        <v>'23</v>
      </c>
      <c r="R35" s="22"/>
      <c r="S35" s="22"/>
      <c r="T35" s="22"/>
      <c r="U35" s="22"/>
      <c r="V35" s="22"/>
      <c r="W35" s="22"/>
      <c r="X35" s="22"/>
      <c r="Y35" s="22"/>
      <c r="Z35" s="22"/>
      <c r="AA35" s="22"/>
      <c r="AB35" s="22"/>
      <c r="AC35" s="22"/>
    </row>
    <row r="36" spans="2:29" ht="15.75" customHeight="1" x14ac:dyDescent="0.2">
      <c r="B36" s="14" t="s">
        <v>158</v>
      </c>
      <c r="C36" s="12" t="str">
        <f t="array" ref="C36">_xll.FDS(B36,"FG_COMPANY_NAME")</f>
        <v>#Calc</v>
      </c>
      <c r="D36" s="21" t="str">
        <f t="array" ref="D36">_xll.FDS(B36,"FG_PRICE(0,,,USD)")</f>
        <v>#Calc</v>
      </c>
      <c r="E36" s="17" t="str">
        <f t="array" ref="E36">_xll.FDS(B36,"FCS_SHARES(TOT,SHS,ANN,0,,,,,M)")</f>
        <v>#Calc</v>
      </c>
      <c r="F36" s="17" t="e">
        <f t="shared" ref="F36:F43" si="19">D36*E36</f>
        <v>#VALUE!</v>
      </c>
      <c r="G36" s="17" t="e">
        <f t="shared" ref="G36:G43" si="20">F36+I36-H36</f>
        <v>#VALUE!</v>
      </c>
      <c r="H36" s="12" t="str">
        <f t="array" ref="H36">_xll.FDS(B36,"FF_CASH_ST(QTR_R,0)")</f>
        <v>#Calc</v>
      </c>
      <c r="I36" s="12" t="str">
        <f t="array" ref="I36">_xll.FDS(B36,"FF_DEBT(QTR_R,0)")</f>
        <v>#Calc</v>
      </c>
      <c r="K36" s="17" t="str">
        <f t="array" ref="K36">_xll.FDS(B36,"FF_SALES(ANN_R,-2AY,,,,USD)")</f>
        <v>#Calc</v>
      </c>
      <c r="L36" s="17" t="str">
        <f t="array" ref="L36">_xll.FDS(B36,"FF_SALES(ANN_R,-1AY,,,,USD)")</f>
        <v>#Calc</v>
      </c>
      <c r="M36" s="17" t="str">
        <f t="array" ref="M36">_xll.FDS(B36,"FF_SALES(ANN_R,0Y,,,,USD)")</f>
        <v>#Calc</v>
      </c>
      <c r="N36" s="17" t="str">
        <f t="array" ref="N36">_xll.FDS(B36,"FF_EBITDA_OPER(ANN_R,-1AY,,,,USD)")</f>
        <v>#Calc</v>
      </c>
      <c r="O36" s="17" t="str">
        <f t="array" ref="O36">_xll.FDS(B36,"FF_EBITDA_OPER(ANN_R,0Y,,,,USD)")</f>
        <v>#Calc</v>
      </c>
      <c r="P36" s="17" t="str">
        <f t="array" ref="P36">_xll.FDS(B36,"FF_NET_INC(ANN_R,-1AY,,,,USD)")</f>
        <v>#Calc</v>
      </c>
      <c r="Q36" s="17" t="str">
        <f t="array" ref="Q36">_xll.FDS(B36,"FF_NET_INC(ANN_R,0Y,,,,USD)")</f>
        <v>#Calc</v>
      </c>
      <c r="R36" s="18"/>
      <c r="S36" s="18"/>
      <c r="T36" s="18"/>
      <c r="U36" s="18"/>
      <c r="V36" s="18"/>
      <c r="W36" s="18"/>
      <c r="X36" s="18"/>
      <c r="Y36" s="18"/>
      <c r="Z36" s="18"/>
      <c r="AA36" s="18"/>
      <c r="AB36" s="18"/>
      <c r="AC36" s="18"/>
    </row>
    <row r="37" spans="2:29" ht="15.75" customHeight="1" x14ac:dyDescent="0.2">
      <c r="B37" s="14" t="s">
        <v>159</v>
      </c>
      <c r="C37" s="12" t="str">
        <f t="array" ref="C37">_xll.FDS(B37,"FG_COMPANY_NAME")</f>
        <v>#Calc</v>
      </c>
      <c r="D37" s="21" t="str">
        <f t="array" ref="D37">_xll.FDS(B37,"FG_PRICE(0,,,USD)")</f>
        <v>#Calc</v>
      </c>
      <c r="E37" s="17" t="str">
        <f t="array" ref="E37">_xll.FDS(B37,"FCS_SHARES(TOT,SHS,ANN,0,,,,,M)")</f>
        <v>#Calc</v>
      </c>
      <c r="F37" s="17" t="e">
        <f t="shared" si="19"/>
        <v>#VALUE!</v>
      </c>
      <c r="G37" s="17" t="e">
        <f t="shared" si="20"/>
        <v>#VALUE!</v>
      </c>
      <c r="H37" s="12" t="str">
        <f t="array" ref="H37">_xll.FDS(B37,"FF_CASH_ST(QTR_R,0)")</f>
        <v>#Calc</v>
      </c>
      <c r="I37" s="12" t="str">
        <f t="array" ref="I37">_xll.FDS(B37,"FF_DEBT(QTR_R,0)")</f>
        <v>#Calc</v>
      </c>
      <c r="K37" s="17" t="str">
        <f t="array" ref="K37">_xll.FDS(B37,"FF_SALES(ANN_R,-2AY,,,,USD)")</f>
        <v>#Calc</v>
      </c>
      <c r="L37" s="17" t="str">
        <f t="array" ref="L37">_xll.FDS(B37,"FF_SALES(ANN_R,-1AY,,,,USD)")</f>
        <v>#Calc</v>
      </c>
      <c r="M37" s="17" t="str">
        <f t="array" ref="M37">_xll.FDS(B37,"FF_SALES(ANN_R,0Y,,,,USD)")</f>
        <v>#Calc</v>
      </c>
      <c r="N37" s="17" t="str">
        <f t="array" ref="N37">_xll.FDS(B37,"FF_EBITDA_OPER(ANN_R,-1AY,,,,USD)")</f>
        <v>#Calc</v>
      </c>
      <c r="O37" s="17" t="str">
        <f t="array" ref="O37">_xll.FDS(B37,"FF_EBITDA_OPER(ANN_R,0Y,,,,USD)")</f>
        <v>#Calc</v>
      </c>
      <c r="P37" s="17" t="str">
        <f t="array" ref="P37">_xll.FDS(B37,"FF_NET_INC(ANN_R,-1AY,,,,USD)")</f>
        <v>#Calc</v>
      </c>
      <c r="Q37" s="17" t="str">
        <f t="array" ref="Q37">_xll.FDS(B37,"FF_NET_INC(ANN_R,0Y,,,,USD)")</f>
        <v>#Calc</v>
      </c>
      <c r="R37" s="18"/>
      <c r="S37" s="18"/>
      <c r="T37" s="18"/>
      <c r="U37" s="18"/>
      <c r="V37" s="18"/>
      <c r="W37" s="18"/>
      <c r="X37" s="18"/>
      <c r="Y37" s="18"/>
      <c r="Z37" s="18"/>
      <c r="AA37" s="18"/>
      <c r="AB37" s="18"/>
      <c r="AC37" s="18"/>
    </row>
    <row r="38" spans="2:29" ht="15.75" customHeight="1" x14ac:dyDescent="0.2">
      <c r="B38" s="14" t="s">
        <v>165</v>
      </c>
      <c r="C38" s="12" t="str">
        <f t="array" ref="C38">_xll.FDS(B38,"FG_COMPANY_NAME")</f>
        <v>#Calc</v>
      </c>
      <c r="D38" s="21" t="str">
        <f t="array" ref="D38">_xll.FDS(B38,"FG_PRICE(0,,,USD)")</f>
        <v>#Calc</v>
      </c>
      <c r="E38" s="17" t="str">
        <f t="array" ref="E38">_xll.FDS(B38,"FCS_SHARES(TOT,SHS,ANN,0,,,,,M)")</f>
        <v>#Calc</v>
      </c>
      <c r="F38" s="17" t="e">
        <f t="shared" si="19"/>
        <v>#VALUE!</v>
      </c>
      <c r="G38" s="17" t="e">
        <f t="shared" si="20"/>
        <v>#VALUE!</v>
      </c>
      <c r="H38" s="12" t="str">
        <f t="array" ref="H38">_xll.FDS(B38,"FF_CASH_ST(QTR_R,0)")</f>
        <v>#Calc</v>
      </c>
      <c r="I38" s="12" t="str">
        <f t="array" ref="I38">_xll.FDS(B38,"FF_DEBT(QTR_R,0)")</f>
        <v>#Calc</v>
      </c>
      <c r="K38" s="17" t="str">
        <f t="array" ref="K38">_xll.FDS(B38,"FF_SALES(ANN_R,-2AY,,,,USD)")</f>
        <v>#Calc</v>
      </c>
      <c r="L38" s="17" t="str">
        <f t="array" ref="L38">_xll.FDS(B38,"FF_SALES(ANN_R,-1AY,,,,USD)")</f>
        <v>#Calc</v>
      </c>
      <c r="M38" s="17" t="str">
        <f t="array" ref="M38">_xll.FDS(B38,"FF_SALES(ANN_R,0Y,,,,USD)")</f>
        <v>#Calc</v>
      </c>
      <c r="N38" s="17" t="str">
        <f t="array" ref="N38">_xll.FDS(B38,"FF_EBITDA_OPER(ANN_R,-1AY,,,,USD)")</f>
        <v>#Calc</v>
      </c>
      <c r="O38" s="17" t="str">
        <f t="array" ref="O38">_xll.FDS(B38,"FF_EBITDA_OPER(ANN_R,0Y,,,,USD)")</f>
        <v>#Calc</v>
      </c>
      <c r="P38" s="17" t="str">
        <f t="array" ref="P38">_xll.FDS(B38,"FF_NET_INC(ANN_R,-1AY,,,,USD)")</f>
        <v>#Calc</v>
      </c>
      <c r="Q38" s="17" t="str">
        <f t="array" ref="Q38">_xll.FDS(B38,"FF_NET_INC(ANN_R,0Y,,,,USD)")</f>
        <v>#Calc</v>
      </c>
      <c r="R38" s="18"/>
      <c r="S38" s="18"/>
      <c r="T38" s="18"/>
      <c r="U38" s="18"/>
      <c r="V38" s="18"/>
      <c r="W38" s="18"/>
      <c r="X38" s="18"/>
      <c r="Y38" s="18"/>
      <c r="Z38" s="18"/>
      <c r="AA38" s="18"/>
      <c r="AB38" s="18"/>
      <c r="AC38" s="18"/>
    </row>
    <row r="39" spans="2:29" ht="15.75" customHeight="1" x14ac:dyDescent="0.2">
      <c r="B39" s="14" t="s">
        <v>160</v>
      </c>
      <c r="C39" s="12" t="str">
        <f t="array" ref="C39">_xll.FDS(B39,"FG_COMPANY_NAME")</f>
        <v>#Calc</v>
      </c>
      <c r="D39" s="21" t="str">
        <f t="array" ref="D39">_xll.FDS(B39,"FG_PRICE(0,,,USD)")</f>
        <v>#Calc</v>
      </c>
      <c r="E39" s="17" t="str">
        <f t="array" ref="E39">_xll.FDS(B39,"FCS_SHARES(TOT,SHS,ANN,0,,,,,M)")</f>
        <v>#Calc</v>
      </c>
      <c r="F39" s="17" t="e">
        <f t="shared" si="19"/>
        <v>#VALUE!</v>
      </c>
      <c r="G39" s="17" t="e">
        <f t="shared" si="20"/>
        <v>#VALUE!</v>
      </c>
      <c r="H39" s="12" t="str">
        <f t="array" ref="H39">_xll.FDS(B39,"FF_CASH_ST(QTR_R,0)")</f>
        <v>#Calc</v>
      </c>
      <c r="I39" s="12" t="str">
        <f t="array" ref="I39">_xll.FDS(B39,"FF_DEBT(QTR_R,0)")</f>
        <v>#Calc</v>
      </c>
      <c r="K39" s="17" t="str">
        <f t="array" ref="K39">_xll.FDS(B39,"FF_SALES(ANN_R,-2AY,,,,USD)")</f>
        <v>#Calc</v>
      </c>
      <c r="L39" s="17" t="str">
        <f t="array" ref="L39">_xll.FDS(B39,"FF_SALES(ANN_R,-1AY,,,,USD)")</f>
        <v>#Calc</v>
      </c>
      <c r="M39" s="17" t="str">
        <f t="array" ref="M39">_xll.FDS(B39,"FF_SALES(ANN_R,0Y,,,,USD)")</f>
        <v>#Calc</v>
      </c>
      <c r="N39" s="17" t="str">
        <f t="array" ref="N39">_xll.FDS(B39,"FF_EBITDA_OPER(ANN_R,-1AY,,,,USD)")</f>
        <v>#Calc</v>
      </c>
      <c r="O39" s="17" t="str">
        <f t="array" ref="O39">_xll.FDS(B39,"FF_EBITDA_OPER(ANN_R,0Y,,,,USD)")</f>
        <v>#Calc</v>
      </c>
      <c r="P39" s="17" t="str">
        <f t="array" ref="P39">_xll.FDS(B39,"FF_NET_INC(ANN_R,-1AY,,,,USD)")</f>
        <v>#Calc</v>
      </c>
      <c r="Q39" s="17" t="str">
        <f t="array" ref="Q39">_xll.FDS(B39,"FF_NET_INC(ANN_R,0Y,,,,USD)")</f>
        <v>#Calc</v>
      </c>
      <c r="R39" s="18"/>
      <c r="S39" s="18"/>
      <c r="T39" s="18"/>
      <c r="U39" s="18"/>
      <c r="V39"/>
      <c r="W39" s="18"/>
      <c r="X39" s="18"/>
      <c r="Y39" s="18"/>
      <c r="Z39" s="18"/>
      <c r="AA39" s="18"/>
      <c r="AB39" s="18"/>
      <c r="AC39" s="18"/>
    </row>
    <row r="40" spans="2:29" ht="15.75" customHeight="1" x14ac:dyDescent="0.2">
      <c r="B40" s="14" t="s">
        <v>161</v>
      </c>
      <c r="C40" s="12" t="str">
        <f t="array" ref="C40">_xll.FDS(B40,"FG_COMPANY_NAME")</f>
        <v>#Calc</v>
      </c>
      <c r="D40" s="21" t="str">
        <f t="array" ref="D40">_xll.FDS(B40,"FG_PRICE(0,,,USD)")</f>
        <v>#Calc</v>
      </c>
      <c r="E40" s="17" t="str">
        <f t="array" ref="E40">_xll.FDS(B40,"FCS_SHARES(TOT,SHS,ANN,0,,,,,M)")</f>
        <v>#Calc</v>
      </c>
      <c r="F40" s="17" t="e">
        <f t="shared" si="19"/>
        <v>#VALUE!</v>
      </c>
      <c r="G40" s="17" t="e">
        <f t="shared" si="20"/>
        <v>#VALUE!</v>
      </c>
      <c r="H40" s="12" t="str">
        <f t="array" ref="H40">_xll.FDS(B40,"FF_CASH_ST(QTR_R,0)")</f>
        <v>#Calc</v>
      </c>
      <c r="I40" s="12" t="str">
        <f t="array" ref="I40">_xll.FDS(B40,"FF_DEBT(QTR_R,0)")</f>
        <v>#Calc</v>
      </c>
      <c r="K40" s="17" t="str">
        <f t="array" ref="K40">_xll.FDS(B40,"FF_SALES(ANN_R,-2AY,,,,USD)")</f>
        <v>#Calc</v>
      </c>
      <c r="L40" s="17" t="str">
        <f t="array" ref="L40">_xll.FDS(B40,"FF_SALES(ANN_R,-1AY,,,,USD)")</f>
        <v>#Calc</v>
      </c>
      <c r="M40" s="17" t="str">
        <f t="array" ref="M40">_xll.FDS(B40,"FF_SALES(ANN_R,0Y,,,,USD)")</f>
        <v>#Calc</v>
      </c>
      <c r="N40" s="17" t="str">
        <f t="array" ref="N40">_xll.FDS(B40,"FF_EBITDA_OPER(ANN_R,-1AY,,,,USD)")</f>
        <v>#Calc</v>
      </c>
      <c r="O40" s="17" t="str">
        <f t="array" ref="O40">_xll.FDS(B40,"FF_EBITDA_OPER(ANN_R,0Y,,,,USD)")</f>
        <v>#Calc</v>
      </c>
      <c r="P40" s="17" t="str">
        <f t="array" ref="P40">_xll.FDS(B40,"FF_NET_INC(ANN_R,-1AY,,,,USD)")</f>
        <v>#Calc</v>
      </c>
      <c r="Q40" s="17" t="str">
        <f t="array" ref="Q40">_xll.FDS(B40,"FF_NET_INC(ANN_R,0Y,,,,USD)")</f>
        <v>#Calc</v>
      </c>
      <c r="R40" s="18"/>
      <c r="S40" s="18"/>
      <c r="T40" s="18"/>
      <c r="U40" s="18"/>
      <c r="V40" s="18"/>
      <c r="W40" s="18"/>
      <c r="X40" s="18"/>
      <c r="Y40" s="18"/>
      <c r="Z40" s="18"/>
      <c r="AA40" s="18"/>
      <c r="AB40" s="18"/>
      <c r="AC40" s="18"/>
    </row>
    <row r="41" spans="2:29" ht="15.75" customHeight="1" x14ac:dyDescent="0.2">
      <c r="B41" s="14" t="s">
        <v>162</v>
      </c>
      <c r="C41" s="12" t="str">
        <f t="array" ref="C41">_xll.FDS(B41,"FG_COMPANY_NAME")</f>
        <v>#Calc</v>
      </c>
      <c r="D41" s="21" t="str">
        <f t="array" ref="D41">_xll.FDS(B41,"FG_PRICE(0,,,USD)")</f>
        <v>#Calc</v>
      </c>
      <c r="E41" s="17" t="str">
        <f t="array" ref="E41">_xll.FDS(B41,"FCS_SHARES(TOT,SHS,ANN,0,,,,,M)")</f>
        <v>#Calc</v>
      </c>
      <c r="F41" s="17" t="e">
        <f t="shared" si="19"/>
        <v>#VALUE!</v>
      </c>
      <c r="G41" s="17" t="e">
        <f t="shared" si="20"/>
        <v>#VALUE!</v>
      </c>
      <c r="H41" s="12" t="str">
        <f t="array" ref="H41">_xll.FDS(B41,"FF_CASH_ST(QTR_R,0)")</f>
        <v>#Calc</v>
      </c>
      <c r="I41" s="12" t="str">
        <f t="array" ref="I41">_xll.FDS(B41,"FF_DEBT(QTR_R,0)")</f>
        <v>#Calc</v>
      </c>
      <c r="K41" s="17" t="str">
        <f t="array" ref="K41">_xll.FDS(B41,"FF_SALES(ANN_R,-2AY,,,,USD)")</f>
        <v>#Calc</v>
      </c>
      <c r="L41" s="17" t="str">
        <f t="array" ref="L41">_xll.FDS(B41,"FF_SALES(ANN_R,-1AY,,,,USD)")</f>
        <v>#Calc</v>
      </c>
      <c r="M41" s="17" t="str">
        <f t="array" ref="M41">_xll.FDS(B41,"FF_SALES(ANN_R,0Y,,,,USD)")</f>
        <v>#Calc</v>
      </c>
      <c r="N41" s="17" t="str">
        <f t="array" ref="N41">_xll.FDS(B41,"FF_EBITDA_OPER(ANN_R,-1AY,,,,USD)")</f>
        <v>#Calc</v>
      </c>
      <c r="O41" s="17" t="str">
        <f t="array" ref="O41">_xll.FDS(B41,"FF_EBITDA_OPER(ANN_R,0Y,,,,USD)")</f>
        <v>#Calc</v>
      </c>
      <c r="P41" s="17" t="str">
        <f t="array" ref="P41">_xll.FDS(B41,"FF_NET_INC(ANN_R,-1AY,,,,USD)")</f>
        <v>#Calc</v>
      </c>
      <c r="Q41" s="17" t="str">
        <f t="array" ref="Q41">_xll.FDS(B41,"FF_NET_INC(ANN_R,0Y,,,,USD)")</f>
        <v>#Calc</v>
      </c>
      <c r="R41" s="18"/>
      <c r="S41" s="18"/>
      <c r="T41" s="18"/>
      <c r="U41" s="18"/>
      <c r="V41" s="18"/>
      <c r="W41" s="18"/>
      <c r="X41" s="18"/>
      <c r="Y41" s="18"/>
      <c r="Z41" s="18"/>
      <c r="AA41" s="18"/>
      <c r="AB41" s="18"/>
      <c r="AC41" s="18"/>
    </row>
    <row r="42" spans="2:29" ht="15.75" customHeight="1" x14ac:dyDescent="0.2">
      <c r="B42" s="14" t="s">
        <v>163</v>
      </c>
      <c r="C42" s="12" t="str">
        <f t="array" ref="C42">_xll.FDS(B42,"FG_COMPANY_NAME")</f>
        <v>#Calc</v>
      </c>
      <c r="D42" s="21" t="str">
        <f t="array" ref="D42">_xll.FDS(B42,"FG_PRICE(0,,,USD)")</f>
        <v>#Calc</v>
      </c>
      <c r="E42" s="17" t="str">
        <f t="array" ref="E42">_xll.FDS(B42,"FCS_SHARES(TOT,SHS,ANN,0,,,,,M)")</f>
        <v>#Calc</v>
      </c>
      <c r="F42" s="17" t="e">
        <f t="shared" si="19"/>
        <v>#VALUE!</v>
      </c>
      <c r="G42" s="17" t="e">
        <f t="shared" si="20"/>
        <v>#VALUE!</v>
      </c>
      <c r="H42" s="12" t="str">
        <f t="array" ref="H42">_xll.FDS(B42,"FF_CASH_ST(QTR_R,0)")</f>
        <v>#Calc</v>
      </c>
      <c r="I42" s="12" t="str">
        <f t="array" ref="I42">_xll.FDS(B42,"FF_DEBT(QTR_R,0)")</f>
        <v>#Calc</v>
      </c>
      <c r="K42" s="17" t="str">
        <f t="array" ref="K42">_xll.FDS(B42,"FF_SALES(ANN_R,-2AY,,,,USD)")</f>
        <v>#Calc</v>
      </c>
      <c r="L42" s="17" t="str">
        <f t="array" ref="L42">_xll.FDS(B42,"FF_SALES(ANN_R,-1AY,,,,USD)")</f>
        <v>#Calc</v>
      </c>
      <c r="M42" s="17" t="str">
        <f t="array" ref="M42">_xll.FDS(B42,"FF_SALES(ANN_R,0Y,,,,USD)")</f>
        <v>#Calc</v>
      </c>
      <c r="N42" s="17" t="str">
        <f t="array" ref="N42">_xll.FDS(B42,"FF_EBITDA_OPER(ANN_R,-1AY,,,,USD)")</f>
        <v>#Calc</v>
      </c>
      <c r="O42" s="17" t="str">
        <f t="array" ref="O42">_xll.FDS(B42,"FF_EBITDA_OPER(ANN_R,0Y,,,,USD)")</f>
        <v>#Calc</v>
      </c>
      <c r="P42" s="17" t="str">
        <f t="array" ref="P42">_xll.FDS(B42,"FF_NET_INC(ANN_R,-1AY,,,,USD)")</f>
        <v>#Calc</v>
      </c>
      <c r="Q42" s="17" t="str">
        <f t="array" ref="Q42">_xll.FDS(B42,"FF_NET_INC(ANN_R,0Y,,,,USD)")</f>
        <v>#Calc</v>
      </c>
      <c r="R42" s="18"/>
      <c r="S42" s="18"/>
      <c r="T42" s="18"/>
      <c r="U42" s="18"/>
      <c r="V42" s="18"/>
      <c r="W42" s="18"/>
      <c r="X42" s="18"/>
      <c r="Y42" s="18"/>
      <c r="Z42" s="18"/>
      <c r="AA42" s="18"/>
      <c r="AB42" s="18"/>
      <c r="AC42" s="18"/>
    </row>
    <row r="43" spans="2:29" ht="15.75" customHeight="1" x14ac:dyDescent="0.2">
      <c r="B43" s="14" t="s">
        <v>164</v>
      </c>
      <c r="C43" s="12" t="str">
        <f t="array" ref="C43">_xll.FDS(B43,"FG_COMPANY_NAME")</f>
        <v>#Calc</v>
      </c>
      <c r="D43" s="21" t="str">
        <f t="array" ref="D43">_xll.FDS(B43,"FG_PRICE(0,,,USD)")</f>
        <v>#Calc</v>
      </c>
      <c r="E43" s="17" t="str">
        <f t="array" ref="E43">_xll.FDS(B43,"FCS_SHARES(TOT,SHS,ANN,0,,,,,M)")</f>
        <v>#Calc</v>
      </c>
      <c r="F43" s="17" t="e">
        <f t="shared" si="19"/>
        <v>#VALUE!</v>
      </c>
      <c r="G43" s="17" t="e">
        <f t="shared" si="20"/>
        <v>#VALUE!</v>
      </c>
      <c r="H43" s="12" t="str">
        <f t="array" ref="H43">_xll.FDS(B43,"FF_CASH_ST(QTR_R,0)")</f>
        <v>#Calc</v>
      </c>
      <c r="I43" s="12" t="str">
        <f t="array" ref="I43">_xll.FDS(B43,"FF_DEBT(QTR_R,0)")</f>
        <v>#Calc</v>
      </c>
      <c r="K43" s="17" t="str">
        <f t="array" ref="K43">_xll.FDS(B43,"FF_SALES(ANN_R,-2AY,,,,USD)")</f>
        <v>#Calc</v>
      </c>
      <c r="L43" s="17" t="str">
        <f t="array" ref="L43">_xll.FDS(B43,"FF_SALES(ANN_R,-1AY,,,,USD)")</f>
        <v>#Calc</v>
      </c>
      <c r="M43" s="17" t="str">
        <f t="array" ref="M43">_xll.FDS(B43,"FF_SALES(ANN_R,0Y,,,,USD)")</f>
        <v>#Calc</v>
      </c>
      <c r="N43" s="17" t="str">
        <f t="array" ref="N43">_xll.FDS(B43,"FF_EBITDA_OPER(ANN_R,-1AY,,,,USD)")</f>
        <v>#Calc</v>
      </c>
      <c r="O43" s="17" t="str">
        <f t="array" ref="O43">_xll.FDS(B43,"FF_EBITDA_OPER(ANN_R,0Y,,,,USD)")</f>
        <v>#Calc</v>
      </c>
      <c r="P43" s="17" t="str">
        <f t="array" ref="P43">_xll.FDS(B43,"FF_NET_INC(ANN_R,-1AY,,,,USD)")</f>
        <v>#Calc</v>
      </c>
      <c r="Q43" s="17" t="str">
        <f t="array" ref="Q43">_xll.FDS(B43,"FF_NET_INC(ANN_R,0Y,,,,USD)")</f>
        <v>#Calc</v>
      </c>
      <c r="R43" s="18"/>
      <c r="S43" s="18"/>
      <c r="T43" s="18"/>
      <c r="U43" s="18"/>
      <c r="V43" s="18"/>
      <c r="W43" s="18"/>
      <c r="X43" s="18"/>
      <c r="Y43" s="18"/>
      <c r="Z43" s="18"/>
      <c r="AA43" s="18"/>
      <c r="AB43" s="18"/>
      <c r="AC43" s="18"/>
    </row>
    <row r="44" spans="2:29" x14ac:dyDescent="0.2">
      <c r="B44" s="14"/>
      <c r="D44" s="21"/>
      <c r="E44" s="17"/>
      <c r="F44" s="17"/>
      <c r="G44" s="17"/>
      <c r="K44" s="17"/>
      <c r="L44" s="17"/>
      <c r="M44" s="17"/>
      <c r="N44" s="17"/>
      <c r="O44" s="17"/>
      <c r="P44" s="17"/>
      <c r="Q44" s="17"/>
      <c r="R44" s="18"/>
      <c r="S44" s="18"/>
      <c r="T44" s="18"/>
      <c r="U44" s="18"/>
      <c r="V44" s="18"/>
      <c r="W44" s="18"/>
      <c r="X44" s="18"/>
      <c r="Y44" s="18"/>
      <c r="Z44" s="18"/>
      <c r="AA44" s="18"/>
      <c r="AB44" s="18"/>
      <c r="AC44" s="18"/>
    </row>
    <row r="45" spans="2:29" x14ac:dyDescent="0.2">
      <c r="B45" s="14"/>
      <c r="D45" s="21"/>
      <c r="E45" s="17"/>
      <c r="F45" s="17"/>
      <c r="G45" s="17"/>
      <c r="K45" s="17"/>
      <c r="L45" s="17"/>
      <c r="M45" s="17"/>
      <c r="N45" s="17"/>
      <c r="O45" s="17"/>
      <c r="P45" s="17"/>
      <c r="Q45" s="17"/>
      <c r="R45" s="18"/>
      <c r="S45" s="18"/>
      <c r="T45" s="18"/>
      <c r="U45" s="18"/>
      <c r="V45" s="18"/>
      <c r="W45" s="18"/>
      <c r="X45" s="18"/>
      <c r="Y45" s="18"/>
      <c r="Z45" s="18"/>
      <c r="AA45" s="18"/>
      <c r="AB45" s="18"/>
      <c r="AC45" s="18"/>
    </row>
    <row r="46" spans="2:29" x14ac:dyDescent="0.2">
      <c r="B46" s="14"/>
      <c r="D46" s="21"/>
      <c r="E46" s="17"/>
      <c r="F46" s="17"/>
      <c r="G46" s="17"/>
      <c r="K46" s="17"/>
      <c r="L46" s="17"/>
      <c r="M46" s="17"/>
      <c r="N46" s="17"/>
      <c r="O46" s="17"/>
      <c r="P46" s="17"/>
      <c r="Q46" s="17"/>
      <c r="R46" s="18"/>
      <c r="S46" s="18"/>
      <c r="T46" s="18"/>
      <c r="U46" s="18"/>
      <c r="V46" s="18"/>
      <c r="W46" s="18"/>
      <c r="X46" s="18"/>
      <c r="Y46" s="18"/>
      <c r="Z46" s="18"/>
      <c r="AA46" s="18"/>
      <c r="AB46" s="18"/>
      <c r="AC46" s="18"/>
    </row>
    <row r="47" spans="2:29" x14ac:dyDescent="0.2">
      <c r="B47" s="14"/>
      <c r="D47" s="21"/>
      <c r="E47" s="17"/>
      <c r="F47" s="17"/>
      <c r="G47" s="17"/>
      <c r="K47" s="17"/>
      <c r="L47" s="17"/>
      <c r="M47" s="17"/>
      <c r="N47" s="17"/>
      <c r="O47" s="17"/>
      <c r="P47" s="17"/>
      <c r="Q47" s="17"/>
      <c r="R47" s="18"/>
      <c r="S47" s="18"/>
      <c r="T47" s="18"/>
      <c r="U47" s="18"/>
      <c r="V47" s="18"/>
      <c r="W47" s="18"/>
      <c r="X47" s="18"/>
      <c r="Y47" s="18"/>
      <c r="Z47" s="18"/>
      <c r="AA47" s="18"/>
      <c r="AB47" s="18"/>
      <c r="AC47" s="18"/>
    </row>
    <row r="48" spans="2:29" ht="19" x14ac:dyDescent="0.2">
      <c r="B48" s="14"/>
      <c r="D48" s="21"/>
      <c r="E48" s="26" t="s">
        <v>126</v>
      </c>
      <c r="F48" s="26"/>
      <c r="G48" s="26"/>
      <c r="H48" s="26" t="s">
        <v>125</v>
      </c>
      <c r="I48" s="26"/>
      <c r="J48" s="26" t="s">
        <v>124</v>
      </c>
      <c r="K48" s="26"/>
      <c r="L48" s="17"/>
      <c r="M48" s="17"/>
      <c r="N48" s="17"/>
      <c r="O48" s="17"/>
      <c r="P48" s="17"/>
      <c r="Q48" s="17"/>
      <c r="R48" s="18"/>
      <c r="S48" s="18"/>
      <c r="T48" s="18"/>
      <c r="U48" s="18"/>
      <c r="V48" s="18"/>
      <c r="W48" s="18"/>
      <c r="X48" s="18"/>
      <c r="Y48" s="18"/>
      <c r="Z48" s="18"/>
      <c r="AA48" s="18"/>
      <c r="AB48" s="18"/>
      <c r="AC48" s="18"/>
    </row>
    <row r="49" spans="2:29" x14ac:dyDescent="0.2">
      <c r="B49" s="14"/>
      <c r="D49" s="21"/>
      <c r="E49" s="23" t="s">
        <v>115</v>
      </c>
      <c r="F49" s="23" t="s">
        <v>114</v>
      </c>
      <c r="G49" s="23" t="s">
        <v>113</v>
      </c>
      <c r="H49" s="23" t="s">
        <v>112</v>
      </c>
      <c r="I49" s="23" t="s">
        <v>111</v>
      </c>
      <c r="J49" s="23" t="str">
        <f>H49</f>
        <v>'22</v>
      </c>
      <c r="K49" s="23" t="str">
        <f>I49</f>
        <v>'23</v>
      </c>
      <c r="L49" s="17"/>
      <c r="M49" s="17"/>
      <c r="N49" s="17"/>
      <c r="O49" s="17"/>
      <c r="P49" s="17"/>
      <c r="Q49" s="17"/>
      <c r="R49" s="18"/>
      <c r="S49" s="18"/>
      <c r="T49" s="18"/>
      <c r="U49" s="18"/>
      <c r="V49" s="18"/>
      <c r="W49" s="18"/>
      <c r="X49" s="18"/>
      <c r="Y49" s="18"/>
      <c r="Z49" s="18"/>
      <c r="AA49" s="18"/>
      <c r="AB49" s="18"/>
      <c r="AC49" s="18"/>
    </row>
    <row r="50" spans="2:29" ht="17" x14ac:dyDescent="0.2">
      <c r="B50" s="14"/>
      <c r="D50" s="21" t="str">
        <f>B11</f>
        <v>CMG-US</v>
      </c>
      <c r="E50" s="73" t="str">
        <f>I11</f>
        <v>#Calc</v>
      </c>
      <c r="F50" s="73" t="str">
        <f t="shared" ref="F50:K50" si="21">J11</f>
        <v>#Calc</v>
      </c>
      <c r="G50" s="73" t="str">
        <f t="shared" si="21"/>
        <v>#Calc</v>
      </c>
      <c r="H50" s="73" t="str">
        <f t="shared" si="21"/>
        <v>#Calc</v>
      </c>
      <c r="I50" s="73" t="str">
        <f t="shared" si="21"/>
        <v>#Calc</v>
      </c>
      <c r="J50" s="73" t="str">
        <f t="shared" si="21"/>
        <v>#Calc</v>
      </c>
      <c r="K50" s="73" t="str">
        <f t="shared" si="21"/>
        <v>#Calc</v>
      </c>
      <c r="L50" s="17"/>
      <c r="M50" s="17"/>
      <c r="N50" s="17"/>
      <c r="O50" s="17"/>
      <c r="P50" s="17"/>
      <c r="Q50" s="17"/>
      <c r="R50" s="18"/>
      <c r="S50" s="18"/>
      <c r="T50" s="18"/>
      <c r="U50" s="18"/>
      <c r="V50" s="18"/>
      <c r="W50" s="18"/>
      <c r="X50" s="18"/>
      <c r="Y50" s="18"/>
      <c r="Z50" s="18"/>
      <c r="AA50" s="18"/>
      <c r="AB50" s="18"/>
      <c r="AC50" s="18"/>
    </row>
    <row r="51" spans="2:29" x14ac:dyDescent="0.2">
      <c r="B51" s="14"/>
      <c r="D51" s="71" t="str">
        <f>B13</f>
        <v>SBUX-US</v>
      </c>
      <c r="E51" s="17" t="str">
        <f>I13</f>
        <v>#Calc</v>
      </c>
      <c r="F51" s="17" t="str">
        <f t="shared" ref="F51:K51" si="22">J13</f>
        <v>#Calc</v>
      </c>
      <c r="G51" s="17" t="str">
        <f t="shared" si="22"/>
        <v>#Calc</v>
      </c>
      <c r="H51" s="17" t="str">
        <f t="shared" si="22"/>
        <v>#Calc</v>
      </c>
      <c r="I51" s="17" t="str">
        <f t="shared" si="22"/>
        <v>#Calc</v>
      </c>
      <c r="J51" s="17" t="str">
        <f t="shared" si="22"/>
        <v>#Calc</v>
      </c>
      <c r="K51" s="17" t="str">
        <f t="shared" si="22"/>
        <v>#Calc</v>
      </c>
      <c r="L51" s="17"/>
      <c r="M51" s="17"/>
      <c r="N51" s="17"/>
      <c r="O51" s="17"/>
      <c r="P51" s="17"/>
      <c r="Q51" s="17"/>
      <c r="R51" s="18"/>
      <c r="S51" s="18"/>
      <c r="T51" s="18"/>
      <c r="U51" s="18"/>
      <c r="V51" s="18"/>
      <c r="W51" s="18"/>
      <c r="X51" s="18"/>
      <c r="Y51" s="18"/>
      <c r="Z51" s="18"/>
      <c r="AA51" s="18"/>
      <c r="AB51" s="18"/>
      <c r="AC51" s="18"/>
    </row>
    <row r="52" spans="2:29" x14ac:dyDescent="0.2">
      <c r="B52" s="14"/>
      <c r="D52" s="71" t="str">
        <f t="shared" ref="D52:D57" si="23">B14</f>
        <v>WEN-US</v>
      </c>
      <c r="E52" s="17" t="str">
        <f t="shared" ref="E52:K52" si="24">I14</f>
        <v>#Calc</v>
      </c>
      <c r="F52" s="17" t="str">
        <f t="shared" si="24"/>
        <v>#Calc</v>
      </c>
      <c r="G52" s="17" t="str">
        <f t="shared" si="24"/>
        <v>#Calc</v>
      </c>
      <c r="H52" s="17" t="str">
        <f t="shared" si="24"/>
        <v>#Calc</v>
      </c>
      <c r="I52" s="17" t="str">
        <f t="shared" si="24"/>
        <v>#Calc</v>
      </c>
      <c r="J52" s="17" t="str">
        <f t="shared" si="24"/>
        <v>#Calc</v>
      </c>
      <c r="K52" s="17" t="str">
        <f t="shared" si="24"/>
        <v>#Calc</v>
      </c>
      <c r="L52" s="17"/>
      <c r="M52" s="17"/>
      <c r="N52" s="17"/>
      <c r="O52" s="17"/>
      <c r="P52" s="17"/>
      <c r="Q52" s="17"/>
      <c r="R52" s="18"/>
      <c r="S52" s="18"/>
      <c r="T52" s="18"/>
      <c r="U52" s="18"/>
      <c r="V52" s="18"/>
      <c r="W52" s="18"/>
      <c r="X52" s="18"/>
      <c r="Y52" s="18"/>
      <c r="Z52" s="18"/>
      <c r="AA52" s="18"/>
      <c r="AB52" s="18"/>
      <c r="AC52" s="18"/>
    </row>
    <row r="53" spans="2:29" x14ac:dyDescent="0.2">
      <c r="B53" s="14"/>
      <c r="D53" s="71" t="str">
        <f t="shared" si="23"/>
        <v>YUM-US</v>
      </c>
      <c r="E53" s="17" t="str">
        <f t="shared" ref="E53:K53" si="25">I15</f>
        <v>#Calc</v>
      </c>
      <c r="F53" s="17" t="str">
        <f t="shared" si="25"/>
        <v>#Calc</v>
      </c>
      <c r="G53" s="17" t="str">
        <f t="shared" si="25"/>
        <v>#Calc</v>
      </c>
      <c r="H53" s="17" t="str">
        <f t="shared" si="25"/>
        <v>#Calc</v>
      </c>
      <c r="I53" s="17" t="str">
        <f t="shared" si="25"/>
        <v>#Calc</v>
      </c>
      <c r="J53" s="17" t="str">
        <f t="shared" si="25"/>
        <v>#Calc</v>
      </c>
      <c r="K53" s="17" t="str">
        <f t="shared" si="25"/>
        <v>#Calc</v>
      </c>
      <c r="L53" s="17"/>
      <c r="M53" s="17"/>
      <c r="N53" s="17"/>
      <c r="O53" s="17"/>
      <c r="P53" s="17"/>
      <c r="Q53" s="17"/>
      <c r="R53" s="18"/>
      <c r="S53" s="18"/>
      <c r="T53" s="18"/>
      <c r="U53" s="18"/>
      <c r="V53" s="18"/>
      <c r="W53" s="18"/>
      <c r="X53" s="18"/>
      <c r="Y53" s="18"/>
      <c r="Z53" s="18"/>
      <c r="AA53" s="18"/>
      <c r="AB53" s="18"/>
      <c r="AC53" s="18"/>
    </row>
    <row r="54" spans="2:29" x14ac:dyDescent="0.2">
      <c r="B54" s="14"/>
      <c r="D54" s="71" t="str">
        <f t="shared" si="23"/>
        <v>MCD-US</v>
      </c>
      <c r="E54" s="17" t="str">
        <f t="shared" ref="E54:K54" si="26">I16</f>
        <v>#Calc</v>
      </c>
      <c r="F54" s="17" t="str">
        <f t="shared" si="26"/>
        <v>#Calc</v>
      </c>
      <c r="G54" s="17" t="str">
        <f t="shared" si="26"/>
        <v>#Calc</v>
      </c>
      <c r="H54" s="17" t="str">
        <f t="shared" si="26"/>
        <v>#Calc</v>
      </c>
      <c r="I54" s="17" t="str">
        <f t="shared" si="26"/>
        <v>#Calc</v>
      </c>
      <c r="J54" s="17" t="str">
        <f t="shared" si="26"/>
        <v>#Calc</v>
      </c>
      <c r="K54" s="17" t="str">
        <f t="shared" si="26"/>
        <v>#Calc</v>
      </c>
      <c r="L54" s="17"/>
      <c r="M54" s="17"/>
      <c r="N54" s="17"/>
      <c r="O54" s="17"/>
      <c r="P54" s="17"/>
      <c r="Q54" s="17"/>
      <c r="R54" s="18"/>
      <c r="S54" s="18"/>
      <c r="T54" s="18"/>
      <c r="U54" s="18"/>
      <c r="V54" s="18"/>
      <c r="W54" s="18"/>
      <c r="X54" s="18"/>
      <c r="Y54" s="18"/>
      <c r="Z54" s="18"/>
      <c r="AA54" s="18"/>
      <c r="AB54" s="18"/>
      <c r="AC54" s="18"/>
    </row>
    <row r="55" spans="2:29" x14ac:dyDescent="0.2">
      <c r="B55" s="14"/>
      <c r="D55" s="71" t="str">
        <f t="shared" si="23"/>
        <v>QSR-US</v>
      </c>
      <c r="E55" s="17" t="str">
        <f t="shared" ref="E55:K55" si="27">I17</f>
        <v>#Calc</v>
      </c>
      <c r="F55" s="17" t="str">
        <f t="shared" si="27"/>
        <v>#Calc</v>
      </c>
      <c r="G55" s="17" t="str">
        <f t="shared" si="27"/>
        <v>#Calc</v>
      </c>
      <c r="H55" s="17" t="str">
        <f t="shared" si="27"/>
        <v>#Calc</v>
      </c>
      <c r="I55" s="17" t="str">
        <f t="shared" si="27"/>
        <v>#Calc</v>
      </c>
      <c r="J55" s="17" t="str">
        <f t="shared" si="27"/>
        <v>#Calc</v>
      </c>
      <c r="K55" s="17" t="str">
        <f t="shared" si="27"/>
        <v>#Calc</v>
      </c>
      <c r="L55" s="17"/>
      <c r="M55" s="17"/>
      <c r="N55" s="17"/>
      <c r="O55" s="17"/>
      <c r="P55" s="17"/>
      <c r="Q55" s="17"/>
      <c r="R55" s="18"/>
      <c r="S55" s="18"/>
      <c r="T55" s="18"/>
      <c r="U55" s="18"/>
      <c r="V55" s="18"/>
      <c r="W55" s="18"/>
      <c r="X55" s="18"/>
      <c r="Y55" s="18"/>
      <c r="Z55" s="18"/>
      <c r="AA55" s="18"/>
      <c r="AB55" s="18"/>
      <c r="AC55" s="18"/>
    </row>
    <row r="56" spans="2:29" x14ac:dyDescent="0.2">
      <c r="B56" s="14"/>
      <c r="D56" s="71" t="str">
        <f t="shared" si="23"/>
        <v>DPZ-US</v>
      </c>
      <c r="E56" s="17" t="str">
        <f t="shared" ref="E56:K56" si="28">I18</f>
        <v>#Calc</v>
      </c>
      <c r="F56" s="17" t="str">
        <f t="shared" si="28"/>
        <v>#Calc</v>
      </c>
      <c r="G56" s="17" t="str">
        <f t="shared" si="28"/>
        <v>#Calc</v>
      </c>
      <c r="H56" s="17" t="str">
        <f t="shared" si="28"/>
        <v>#Calc</v>
      </c>
      <c r="I56" s="17" t="str">
        <f t="shared" si="28"/>
        <v>#Calc</v>
      </c>
      <c r="J56" s="17" t="str">
        <f t="shared" si="28"/>
        <v>#Calc</v>
      </c>
      <c r="K56" s="17" t="str">
        <f t="shared" si="28"/>
        <v>#Calc</v>
      </c>
      <c r="L56" s="17"/>
      <c r="M56" s="17"/>
      <c r="N56" s="17"/>
      <c r="O56" s="17"/>
      <c r="P56" s="16"/>
      <c r="Q56" s="18"/>
      <c r="R56" s="18"/>
      <c r="S56" s="18"/>
      <c r="T56" s="18"/>
      <c r="U56" s="18"/>
      <c r="V56" s="18"/>
      <c r="W56" s="18"/>
      <c r="X56" s="18"/>
      <c r="Y56" s="18"/>
      <c r="Z56" s="18"/>
      <c r="AA56" s="18"/>
      <c r="AB56" s="18"/>
      <c r="AC56" s="18"/>
    </row>
    <row r="57" spans="2:29" x14ac:dyDescent="0.2">
      <c r="B57" s="14"/>
      <c r="D57" s="71" t="str">
        <f t="shared" si="23"/>
        <v>DRI-US</v>
      </c>
      <c r="E57" s="17" t="str">
        <f t="shared" ref="E57:K57" si="29">I19</f>
        <v>#Calc</v>
      </c>
      <c r="F57" s="17" t="str">
        <f t="shared" si="29"/>
        <v>#Calc</v>
      </c>
      <c r="G57" s="17" t="str">
        <f t="shared" si="29"/>
        <v>#Calc</v>
      </c>
      <c r="H57" s="17" t="str">
        <f t="shared" si="29"/>
        <v>#Calc</v>
      </c>
      <c r="I57" s="17" t="str">
        <f t="shared" si="29"/>
        <v>#Calc</v>
      </c>
      <c r="J57" s="17" t="str">
        <f t="shared" si="29"/>
        <v>#Calc</v>
      </c>
      <c r="K57" s="17" t="str">
        <f t="shared" si="29"/>
        <v>#Calc</v>
      </c>
      <c r="L57" s="17"/>
      <c r="M57" s="17"/>
      <c r="N57" s="17"/>
      <c r="O57" s="17"/>
      <c r="P57" s="16"/>
      <c r="Q57" s="18"/>
      <c r="R57" s="18"/>
      <c r="S57" s="18"/>
      <c r="T57" s="18"/>
      <c r="U57" s="18"/>
      <c r="V57" s="18"/>
      <c r="W57" s="18"/>
      <c r="X57" s="18"/>
      <c r="Y57" s="18"/>
      <c r="Z57" s="18"/>
      <c r="AA57" s="18"/>
      <c r="AB57" s="18"/>
      <c r="AC57" s="18"/>
    </row>
    <row r="58" spans="2:29" x14ac:dyDescent="0.2">
      <c r="B58" s="14"/>
      <c r="D58" s="72" t="s">
        <v>167</v>
      </c>
      <c r="E58" s="17">
        <f t="shared" ref="E58:K58" si="30">SUM(E50:E57)</f>
        <v>0</v>
      </c>
      <c r="F58" s="17">
        <f t="shared" si="30"/>
        <v>0</v>
      </c>
      <c r="G58" s="17">
        <f t="shared" si="30"/>
        <v>0</v>
      </c>
      <c r="H58" s="17">
        <f t="shared" si="30"/>
        <v>0</v>
      </c>
      <c r="I58" s="17">
        <f t="shared" si="30"/>
        <v>0</v>
      </c>
      <c r="J58" s="17">
        <f t="shared" si="30"/>
        <v>0</v>
      </c>
      <c r="K58" s="17">
        <f t="shared" si="30"/>
        <v>0</v>
      </c>
      <c r="L58" s="17"/>
      <c r="M58" s="17"/>
      <c r="N58" s="17"/>
      <c r="O58" s="17"/>
      <c r="P58" s="20"/>
      <c r="Q58" s="18"/>
      <c r="R58" s="18"/>
      <c r="S58" s="18"/>
      <c r="T58" s="18"/>
      <c r="U58" s="18"/>
      <c r="V58" s="18"/>
      <c r="W58" s="18"/>
      <c r="X58" s="18"/>
      <c r="Y58" s="18"/>
      <c r="Z58" s="18"/>
      <c r="AA58" s="18"/>
      <c r="AB58" s="18"/>
      <c r="AC58" s="18"/>
    </row>
    <row r="59" spans="2:29" x14ac:dyDescent="0.2">
      <c r="B59" s="14"/>
      <c r="L59" s="17"/>
      <c r="M59" s="17"/>
      <c r="N59" s="17"/>
      <c r="O59" s="17"/>
      <c r="P59" s="16"/>
      <c r="Q59" s="18"/>
      <c r="R59" s="18"/>
      <c r="S59" s="18"/>
      <c r="T59" s="18"/>
      <c r="U59" s="18"/>
      <c r="V59" s="18"/>
      <c r="W59" s="18"/>
      <c r="X59" s="18"/>
      <c r="Y59" s="18"/>
      <c r="Z59"/>
      <c r="AA59" s="18"/>
      <c r="AB59" s="18"/>
      <c r="AC59" s="18"/>
    </row>
    <row r="60" spans="2:29" x14ac:dyDescent="0.2">
      <c r="B60" s="14"/>
      <c r="D60" s="13" t="s">
        <v>168</v>
      </c>
      <c r="E60" s="74" t="e">
        <f t="shared" ref="E60:K60" si="31">E50/E58</f>
        <v>#VALUE!</v>
      </c>
      <c r="F60" s="74" t="e">
        <f t="shared" si="31"/>
        <v>#VALUE!</v>
      </c>
      <c r="G60" s="74" t="e">
        <f t="shared" si="31"/>
        <v>#VALUE!</v>
      </c>
      <c r="H60" s="74" t="e">
        <f t="shared" si="31"/>
        <v>#VALUE!</v>
      </c>
      <c r="I60" s="74" t="e">
        <f t="shared" si="31"/>
        <v>#VALUE!</v>
      </c>
      <c r="J60" s="74" t="e">
        <f t="shared" si="31"/>
        <v>#VALUE!</v>
      </c>
      <c r="K60" s="74" t="e">
        <f t="shared" si="31"/>
        <v>#VALUE!</v>
      </c>
      <c r="L60" s="17"/>
      <c r="M60" s="17"/>
      <c r="N60" s="17"/>
      <c r="O60" s="17"/>
      <c r="P60" s="16"/>
      <c r="Q60" s="18"/>
      <c r="R60" s="18"/>
      <c r="S60" s="18"/>
      <c r="T60" s="18"/>
      <c r="U60" s="18"/>
      <c r="V60" s="18"/>
      <c r="W60" s="18"/>
      <c r="X60" s="18"/>
      <c r="Y60" s="18"/>
      <c r="Z60" s="18"/>
      <c r="AA60" s="18"/>
      <c r="AB60" s="18"/>
      <c r="AC60" s="18"/>
    </row>
    <row r="61" spans="2:29" x14ac:dyDescent="0.2">
      <c r="B61" s="14"/>
      <c r="D61" s="13"/>
      <c r="E61" s="44" t="s">
        <v>132</v>
      </c>
      <c r="F61" s="74" t="e">
        <f>F60/E60-1</f>
        <v>#VALUE!</v>
      </c>
      <c r="G61" s="74" t="e">
        <f>G60/F60-1</f>
        <v>#VALUE!</v>
      </c>
      <c r="I61" s="19"/>
      <c r="J61" s="19"/>
      <c r="K61" s="19"/>
      <c r="L61" s="17"/>
      <c r="M61" s="17"/>
      <c r="N61" s="17"/>
      <c r="O61" s="17"/>
      <c r="P61" s="16"/>
      <c r="Q61" s="18"/>
      <c r="R61" s="18"/>
      <c r="S61" s="18"/>
      <c r="T61" s="18"/>
      <c r="U61" s="18"/>
      <c r="V61" s="18"/>
      <c r="W61" s="18"/>
      <c r="X61" s="18"/>
      <c r="Y61" s="18"/>
      <c r="Z61" s="18"/>
      <c r="AA61" s="18"/>
      <c r="AB61" s="18"/>
      <c r="AC61" s="18"/>
    </row>
    <row r="62" spans="2:29" x14ac:dyDescent="0.2">
      <c r="B62" s="14"/>
      <c r="D62" s="13"/>
      <c r="E62" s="17"/>
      <c r="F62" s="17"/>
      <c r="G62" s="17"/>
      <c r="I62" s="19"/>
      <c r="J62" s="19"/>
      <c r="K62" s="19"/>
      <c r="L62" s="17"/>
      <c r="M62" s="17"/>
      <c r="N62" s="17"/>
      <c r="O62" s="17"/>
      <c r="P62" s="16"/>
      <c r="Q62" s="18"/>
      <c r="R62" s="18"/>
      <c r="S62" s="18"/>
      <c r="T62" s="18"/>
      <c r="U62" s="18"/>
      <c r="V62" s="18"/>
      <c r="W62" s="18"/>
      <c r="X62" s="18"/>
      <c r="Y62" s="18"/>
      <c r="Z62" s="18"/>
      <c r="AA62" s="18"/>
      <c r="AB62" s="18"/>
      <c r="AC62" s="18"/>
    </row>
    <row r="63" spans="2:29" x14ac:dyDescent="0.2">
      <c r="B63" s="14"/>
      <c r="O63" s="17"/>
      <c r="P63" s="16"/>
      <c r="Q63" s="18"/>
      <c r="R63" s="18"/>
      <c r="S63" s="18"/>
      <c r="T63" s="18"/>
      <c r="U63" s="18"/>
      <c r="V63" s="18"/>
      <c r="W63" s="18"/>
      <c r="X63" s="18"/>
      <c r="Y63" s="18"/>
      <c r="Z63" s="18"/>
      <c r="AA63" s="18"/>
      <c r="AB63" s="18"/>
      <c r="AC63" s="18"/>
    </row>
    <row r="64" spans="2:29" x14ac:dyDescent="0.2">
      <c r="B64" s="14"/>
      <c r="O64" s="17"/>
      <c r="P64" s="16"/>
      <c r="Q64" s="18"/>
      <c r="R64" s="18"/>
      <c r="S64" s="18"/>
      <c r="T64" s="18"/>
      <c r="U64" s="18"/>
      <c r="V64" s="18"/>
      <c r="W64" s="18"/>
      <c r="X64" s="18"/>
      <c r="Y64" s="18"/>
      <c r="Z64" s="18"/>
      <c r="AA64" s="18"/>
      <c r="AB64" s="18"/>
      <c r="AC64" s="18"/>
    </row>
    <row r="65" spans="2:29" x14ac:dyDescent="0.2">
      <c r="B65" s="14"/>
      <c r="E65" s="23" t="s">
        <v>115</v>
      </c>
      <c r="F65" s="23">
        <f t="shared" ref="F65:L65" si="32">E65+1</f>
        <v>22</v>
      </c>
      <c r="G65" s="23">
        <f t="shared" si="32"/>
        <v>23</v>
      </c>
      <c r="H65" s="23">
        <f t="shared" si="32"/>
        <v>24</v>
      </c>
      <c r="I65" s="23">
        <f t="shared" si="32"/>
        <v>25</v>
      </c>
      <c r="J65" s="23">
        <f t="shared" si="32"/>
        <v>26</v>
      </c>
      <c r="K65" s="23">
        <f t="shared" si="32"/>
        <v>27</v>
      </c>
      <c r="L65" s="23">
        <f t="shared" si="32"/>
        <v>28</v>
      </c>
      <c r="M65" s="23"/>
      <c r="N65" s="23"/>
      <c r="O65" s="17"/>
      <c r="P65" s="16"/>
      <c r="Q65" s="18"/>
      <c r="R65" s="18"/>
      <c r="S65" s="18"/>
      <c r="T65" s="18"/>
      <c r="U65" s="18"/>
      <c r="V65" s="18"/>
      <c r="W65" s="18"/>
      <c r="X65" s="18"/>
      <c r="Y65" s="18"/>
      <c r="Z65" s="18"/>
      <c r="AA65" s="18"/>
      <c r="AB65" s="18"/>
      <c r="AC65" s="18"/>
    </row>
    <row r="66" spans="2:29" x14ac:dyDescent="0.2">
      <c r="B66" s="14"/>
      <c r="D66" s="13"/>
      <c r="E66" s="74" t="e">
        <f>E60</f>
        <v>#VALUE!</v>
      </c>
      <c r="F66" s="74" t="e">
        <f>F60</f>
        <v>#VALUE!</v>
      </c>
      <c r="G66" s="74" t="e">
        <f>G60</f>
        <v>#VALUE!</v>
      </c>
      <c r="H66" s="418" t="e">
        <f>G66*(1+H67)</f>
        <v>#VALUE!</v>
      </c>
      <c r="I66" s="418" t="e">
        <f t="shared" ref="I66:J66" si="33">H66*(1+I67)</f>
        <v>#VALUE!</v>
      </c>
      <c r="J66" s="418" t="e">
        <f t="shared" si="33"/>
        <v>#VALUE!</v>
      </c>
      <c r="K66" s="418" t="e">
        <f t="shared" ref="K66" si="34">J66*(1+K67)</f>
        <v>#VALUE!</v>
      </c>
      <c r="L66" s="418" t="e">
        <f t="shared" ref="L66" si="35">K66*(1+L67)</f>
        <v>#VALUE!</v>
      </c>
      <c r="M66" s="418"/>
      <c r="N66" s="418"/>
      <c r="O66" s="17"/>
      <c r="P66" s="16"/>
      <c r="Q66" s="18"/>
      <c r="R66" s="18"/>
      <c r="S66" s="18"/>
      <c r="T66" s="18"/>
      <c r="U66" s="18"/>
      <c r="V66" s="18"/>
      <c r="W66" s="18"/>
      <c r="X66" s="18"/>
      <c r="Y66" s="18"/>
      <c r="Z66" s="18"/>
      <c r="AA66" s="18"/>
      <c r="AB66" s="18"/>
      <c r="AC66" s="18"/>
    </row>
    <row r="67" spans="2:29" x14ac:dyDescent="0.2">
      <c r="B67" s="14"/>
      <c r="D67" s="13"/>
      <c r="E67" s="44" t="s">
        <v>132</v>
      </c>
      <c r="F67" s="74" t="e">
        <f>F66/E66-1</f>
        <v>#VALUE!</v>
      </c>
      <c r="G67" s="74" t="e">
        <f>G66/F66-1</f>
        <v>#VALUE!</v>
      </c>
      <c r="H67" s="418" t="e">
        <f>G67-0.5%</f>
        <v>#VALUE!</v>
      </c>
      <c r="I67" s="418" t="e">
        <f>H67-0.5%</f>
        <v>#VALUE!</v>
      </c>
      <c r="J67" s="418" t="e">
        <f>I67-0.5%</f>
        <v>#VALUE!</v>
      </c>
      <c r="K67" s="418" t="e">
        <f>J67-0.5%</f>
        <v>#VALUE!</v>
      </c>
      <c r="L67" s="418" t="e">
        <f>K67-0.5%</f>
        <v>#VALUE!</v>
      </c>
      <c r="M67" s="418"/>
      <c r="N67" s="418"/>
      <c r="O67" s="17"/>
      <c r="P67" s="16"/>
      <c r="Q67" s="18"/>
      <c r="R67" s="18"/>
      <c r="S67" s="18"/>
      <c r="T67" s="18"/>
      <c r="U67" s="18"/>
      <c r="V67" s="18"/>
      <c r="W67" s="18"/>
      <c r="X67" s="18"/>
      <c r="Y67" s="18"/>
      <c r="Z67" s="18"/>
      <c r="AA67" s="18"/>
      <c r="AB67" s="18"/>
      <c r="AC67" s="18"/>
    </row>
    <row r="68" spans="2:29" x14ac:dyDescent="0.2">
      <c r="B68" s="14"/>
      <c r="D68" s="13"/>
      <c r="E68" s="17"/>
      <c r="F68" s="17"/>
      <c r="G68" s="417"/>
      <c r="I68" s="17"/>
      <c r="J68" s="17"/>
      <c r="K68" s="17"/>
      <c r="L68" s="17"/>
      <c r="M68" s="17"/>
      <c r="N68" s="17"/>
      <c r="O68" s="17"/>
      <c r="P68" s="16"/>
      <c r="Q68" s="18"/>
      <c r="R68" s="18"/>
      <c r="S68" s="18"/>
      <c r="T68" s="18"/>
      <c r="U68" s="18"/>
      <c r="V68" s="18"/>
      <c r="W68" s="18"/>
      <c r="X68" s="18"/>
      <c r="Y68" s="18"/>
      <c r="Z68" s="18"/>
      <c r="AA68" s="18"/>
      <c r="AB68" s="18"/>
      <c r="AC68" s="18"/>
    </row>
    <row r="69" spans="2:29" x14ac:dyDescent="0.2">
      <c r="B69" s="14"/>
      <c r="F69" s="457" t="s">
        <v>217</v>
      </c>
      <c r="G69" s="457"/>
      <c r="H69" s="457"/>
      <c r="I69" s="414"/>
      <c r="L69" s="17"/>
      <c r="M69" s="17"/>
      <c r="N69" s="17"/>
      <c r="O69" s="17"/>
      <c r="P69" s="16"/>
      <c r="Q69" s="18"/>
      <c r="R69" s="18"/>
      <c r="S69" s="18"/>
      <c r="T69" s="18"/>
      <c r="U69" s="18"/>
      <c r="V69" s="18"/>
      <c r="W69" s="18"/>
      <c r="X69" s="18"/>
      <c r="Y69" s="18"/>
      <c r="Z69" s="18"/>
      <c r="AA69" s="18"/>
      <c r="AB69" s="18"/>
      <c r="AC69" s="18"/>
    </row>
    <row r="70" spans="2:29" x14ac:dyDescent="0.2">
      <c r="B70" s="14"/>
      <c r="F70" s="457"/>
      <c r="G70" s="457"/>
      <c r="H70" s="457"/>
      <c r="I70" s="414"/>
      <c r="L70" s="17"/>
      <c r="M70" s="17"/>
      <c r="N70" s="17"/>
      <c r="O70" s="17"/>
      <c r="P70" s="16"/>
      <c r="Q70" s="18"/>
      <c r="R70" s="18"/>
      <c r="S70" s="18"/>
      <c r="T70" s="18"/>
      <c r="U70" s="18"/>
      <c r="V70" s="18"/>
      <c r="W70" s="18"/>
      <c r="X70" s="18"/>
      <c r="Y70" s="18"/>
      <c r="Z70" s="18"/>
      <c r="AA70" s="18"/>
      <c r="AB70" s="18"/>
      <c r="AC70" s="18"/>
    </row>
    <row r="71" spans="2:29" x14ac:dyDescent="0.2">
      <c r="B71" s="14"/>
      <c r="F71" s="21" t="str">
        <f t="shared" ref="F71:F79" si="36">D50</f>
        <v>CMG-US</v>
      </c>
      <c r="G71" s="17">
        <v>3446</v>
      </c>
      <c r="H71" s="17"/>
      <c r="I71" s="17"/>
      <c r="L71" s="17"/>
      <c r="M71" s="17"/>
      <c r="N71" s="17"/>
      <c r="O71" s="17"/>
      <c r="P71" s="16"/>
      <c r="Q71" s="18"/>
      <c r="R71" s="18"/>
      <c r="S71" s="18"/>
      <c r="T71" s="18"/>
      <c r="U71" s="18"/>
      <c r="V71" s="18"/>
      <c r="W71" s="18"/>
      <c r="X71" s="18"/>
      <c r="Y71" s="18"/>
      <c r="Z71" s="18"/>
      <c r="AA71" s="18"/>
      <c r="AB71" s="18"/>
      <c r="AC71" s="18"/>
    </row>
    <row r="72" spans="2:29" x14ac:dyDescent="0.2">
      <c r="B72" s="14"/>
      <c r="F72" s="21" t="str">
        <f t="shared" si="36"/>
        <v>SBUX-US</v>
      </c>
      <c r="G72" s="17">
        <v>16621</v>
      </c>
      <c r="H72" s="17"/>
      <c r="I72" s="17"/>
      <c r="L72" s="17"/>
      <c r="M72" s="17"/>
      <c r="N72" s="17"/>
      <c r="O72" s="17"/>
      <c r="P72" s="16"/>
      <c r="Q72" s="18"/>
      <c r="R72" s="18"/>
      <c r="S72" s="18"/>
      <c r="T72" s="18"/>
      <c r="U72" s="18"/>
      <c r="V72" s="18"/>
      <c r="W72" s="18"/>
      <c r="X72" s="18"/>
      <c r="Y72" s="18"/>
      <c r="Z72" s="18"/>
      <c r="AA72" s="18"/>
      <c r="AB72" s="18"/>
      <c r="AC72" s="18"/>
    </row>
    <row r="73" spans="2:29" ht="15.75" customHeight="1" x14ac:dyDescent="0.2">
      <c r="B73" s="14"/>
      <c r="F73" s="21" t="str">
        <f t="shared" si="36"/>
        <v>WEN-US</v>
      </c>
      <c r="G73" s="17">
        <v>6020</v>
      </c>
      <c r="H73" s="17"/>
      <c r="I73" s="17"/>
      <c r="L73" s="17"/>
      <c r="M73" s="17"/>
      <c r="N73" s="17"/>
      <c r="O73" s="17"/>
      <c r="P73" s="16"/>
      <c r="Q73" s="18"/>
      <c r="R73" s="18"/>
      <c r="S73" s="18"/>
      <c r="T73" s="18"/>
      <c r="U73" s="18"/>
      <c r="V73" s="18"/>
      <c r="W73" s="18"/>
      <c r="X73" s="18"/>
      <c r="Y73" s="18"/>
      <c r="Z73" s="18"/>
      <c r="AA73" s="18"/>
      <c r="AB73" s="18"/>
      <c r="AC73" s="18"/>
    </row>
    <row r="74" spans="2:29" ht="15.75" customHeight="1" x14ac:dyDescent="0.2">
      <c r="B74" s="14"/>
      <c r="F74" s="21" t="str">
        <f t="shared" si="36"/>
        <v>YUM-US</v>
      </c>
      <c r="G74" s="17">
        <v>18199</v>
      </c>
      <c r="H74" s="17"/>
      <c r="I74" s="17"/>
      <c r="L74" s="17"/>
      <c r="M74" s="17"/>
      <c r="N74" s="17"/>
      <c r="O74" s="16"/>
      <c r="P74" s="16"/>
      <c r="Q74" s="16"/>
      <c r="R74" s="16"/>
      <c r="S74" s="16"/>
      <c r="T74" s="16"/>
      <c r="U74" s="16"/>
      <c r="V74" s="16"/>
      <c r="W74" s="16"/>
      <c r="X74" s="15"/>
      <c r="Y74" s="15"/>
      <c r="Z74" s="15"/>
      <c r="AA74" s="15"/>
      <c r="AB74" s="15"/>
      <c r="AC74" s="15"/>
    </row>
    <row r="75" spans="2:29" x14ac:dyDescent="0.2">
      <c r="B75" s="14"/>
      <c r="F75" s="21" t="str">
        <f t="shared" si="36"/>
        <v>MCD-US</v>
      </c>
      <c r="G75" s="17">
        <v>13529</v>
      </c>
      <c r="H75" s="17"/>
      <c r="I75" s="17"/>
      <c r="L75" s="17"/>
      <c r="M75" s="17"/>
      <c r="N75" s="17"/>
    </row>
    <row r="76" spans="2:29" x14ac:dyDescent="0.2">
      <c r="B76" s="14"/>
      <c r="F76" s="21" t="str">
        <f t="shared" si="36"/>
        <v>QSR-US</v>
      </c>
      <c r="G76" s="13">
        <v>11653</v>
      </c>
      <c r="H76" s="17"/>
      <c r="I76" s="17"/>
      <c r="L76" s="16"/>
      <c r="M76" s="16"/>
      <c r="N76" s="16"/>
    </row>
    <row r="77" spans="2:29" x14ac:dyDescent="0.2">
      <c r="B77" s="14"/>
      <c r="F77" s="21" t="str">
        <f t="shared" si="36"/>
        <v>DPZ-US</v>
      </c>
      <c r="G77" s="13">
        <v>6929</v>
      </c>
    </row>
    <row r="78" spans="2:29" x14ac:dyDescent="0.2">
      <c r="B78" s="14"/>
      <c r="F78" s="21" t="str">
        <f t="shared" si="36"/>
        <v>DRI-US</v>
      </c>
      <c r="G78" s="13">
        <v>2022</v>
      </c>
    </row>
    <row r="79" spans="2:29" x14ac:dyDescent="0.2">
      <c r="F79" s="21" t="str">
        <f t="shared" si="36"/>
        <v>Total</v>
      </c>
      <c r="G79" s="47">
        <f>SUM(G71:G78)</f>
        <v>78419</v>
      </c>
    </row>
    <row r="81" spans="6:8" ht="34" x14ac:dyDescent="0.2">
      <c r="F81" s="178" t="s">
        <v>218</v>
      </c>
      <c r="G81" s="179">
        <f>G71/G79</f>
        <v>4.3943432076410056E-2</v>
      </c>
      <c r="H81" s="12" t="s">
        <v>219</v>
      </c>
    </row>
    <row r="100" spans="4:13" ht="15.75" customHeight="1" x14ac:dyDescent="0.2"/>
    <row r="102" spans="4:13" ht="18.75" customHeight="1" x14ac:dyDescent="0.2">
      <c r="E102" s="458" t="s">
        <v>360</v>
      </c>
      <c r="F102" s="458"/>
      <c r="G102" s="458"/>
      <c r="H102" s="458"/>
      <c r="I102" s="458"/>
      <c r="J102" s="458"/>
      <c r="K102" s="458"/>
      <c r="L102" s="458"/>
      <c r="M102" s="416"/>
    </row>
    <row r="103" spans="4:13" x14ac:dyDescent="0.2">
      <c r="D103" s="416"/>
      <c r="E103" s="458"/>
      <c r="F103" s="458"/>
      <c r="G103" s="458"/>
      <c r="H103" s="458"/>
      <c r="I103" s="458"/>
      <c r="J103" s="458"/>
      <c r="K103" s="458"/>
      <c r="L103" s="458"/>
      <c r="M103" s="416"/>
    </row>
    <row r="104" spans="4:13" x14ac:dyDescent="0.2">
      <c r="D104" s="416"/>
      <c r="E104" s="458"/>
      <c r="F104" s="458"/>
      <c r="G104" s="458"/>
      <c r="H104" s="458"/>
      <c r="I104" s="458"/>
      <c r="J104" s="458"/>
      <c r="K104" s="458"/>
      <c r="L104" s="458"/>
      <c r="M104" s="416"/>
    </row>
    <row r="105" spans="4:13" x14ac:dyDescent="0.2">
      <c r="D105" s="416"/>
      <c r="E105" s="458"/>
      <c r="F105" s="458"/>
      <c r="G105" s="458"/>
      <c r="H105" s="458"/>
      <c r="I105" s="458"/>
      <c r="J105" s="458"/>
      <c r="K105" s="458"/>
      <c r="L105" s="458"/>
      <c r="M105" s="416"/>
    </row>
    <row r="106" spans="4:13" x14ac:dyDescent="0.2">
      <c r="D106" s="416"/>
      <c r="E106" s="458"/>
      <c r="F106" s="458"/>
      <c r="G106" s="458"/>
      <c r="H106" s="458"/>
      <c r="I106" s="458"/>
      <c r="J106" s="458"/>
      <c r="K106" s="458"/>
      <c r="L106" s="458"/>
      <c r="M106" s="416"/>
    </row>
    <row r="107" spans="4:13" x14ac:dyDescent="0.2">
      <c r="D107" s="416"/>
      <c r="E107" s="458"/>
      <c r="F107" s="458"/>
      <c r="G107" s="458"/>
      <c r="H107" s="458"/>
      <c r="I107" s="458"/>
      <c r="J107" s="458"/>
      <c r="K107" s="458"/>
      <c r="L107" s="458"/>
      <c r="M107" s="416"/>
    </row>
    <row r="108" spans="4:13" x14ac:dyDescent="0.2">
      <c r="D108" s="416"/>
      <c r="E108" s="458"/>
      <c r="F108" s="458"/>
      <c r="G108" s="458"/>
      <c r="H108" s="458"/>
      <c r="I108" s="458"/>
      <c r="J108" s="458"/>
      <c r="K108" s="458"/>
      <c r="L108" s="458"/>
      <c r="M108" s="416"/>
    </row>
    <row r="109" spans="4:13" x14ac:dyDescent="0.2">
      <c r="E109" s="415">
        <f>90.1*(1+4.4%)^7</f>
        <v>121.79466960804753</v>
      </c>
      <c r="F109" s="415"/>
      <c r="G109" s="415"/>
      <c r="H109" s="415"/>
      <c r="I109" s="415"/>
      <c r="J109" s="415"/>
      <c r="K109" s="415"/>
      <c r="L109" s="415"/>
    </row>
    <row r="110" spans="4:13" x14ac:dyDescent="0.2">
      <c r="E110" s="415"/>
      <c r="F110" s="415"/>
      <c r="G110" s="415"/>
      <c r="H110" s="415"/>
      <c r="I110" s="415"/>
      <c r="J110" s="415"/>
      <c r="K110" s="415"/>
      <c r="L110" s="415"/>
    </row>
  </sheetData>
  <mergeCells count="2">
    <mergeCell ref="F69:H70"/>
    <mergeCell ref="E102:L108"/>
  </mergeCells>
  <conditionalFormatting sqref="I20:P20 P13:P18">
    <cfRule type="colorScale" priority="171">
      <colorScale>
        <cfvo type="min"/>
        <cfvo type="percentile" val="50"/>
        <cfvo type="max"/>
        <color rgb="FFF8696B"/>
        <color rgb="FFFFEB84"/>
        <color rgb="FF63BE7B"/>
      </colorScale>
    </cfRule>
    <cfRule type="colorScale" priority="172">
      <colorScale>
        <cfvo type="min"/>
        <cfvo type="percentile" val="50"/>
        <cfvo type="max"/>
        <color rgb="FF63BE7B"/>
        <color rgb="FFFFEB84"/>
        <color rgb="FFF8696B"/>
      </colorScale>
    </cfRule>
  </conditionalFormatting>
  <conditionalFormatting sqref="O74:P74 L76:N76 P69:P73">
    <cfRule type="colorScale" priority="206">
      <colorScale>
        <cfvo type="min"/>
        <cfvo type="percentile" val="50"/>
        <cfvo type="max"/>
        <color rgb="FFF8696B"/>
        <color rgb="FFFFEB84"/>
        <color rgb="FF63BE7B"/>
      </colorScale>
    </cfRule>
    <cfRule type="colorScale" priority="207">
      <colorScale>
        <cfvo type="min"/>
        <cfvo type="percentile" val="50"/>
        <cfvo type="max"/>
        <color rgb="FF63BE7B"/>
        <color rgb="FFFFEB84"/>
        <color rgb="FFF8696B"/>
      </colorScale>
    </cfRule>
  </conditionalFormatting>
  <conditionalFormatting sqref="P19">
    <cfRule type="colorScale" priority="173">
      <colorScale>
        <cfvo type="min"/>
        <cfvo type="percentile" val="50"/>
        <cfvo type="max"/>
        <color rgb="FFF8696B"/>
        <color rgb="FFFFEB84"/>
        <color rgb="FF63BE7B"/>
      </colorScale>
    </cfRule>
    <cfRule type="colorScale" priority="174">
      <colorScale>
        <cfvo type="min"/>
        <cfvo type="percentile" val="50"/>
        <cfvo type="max"/>
        <color rgb="FF63BE7B"/>
        <color rgb="FFFFEB84"/>
        <color rgb="FFF8696B"/>
      </colorScale>
    </cfRule>
  </conditionalFormatting>
  <conditionalFormatting sqref="P56:P58">
    <cfRule type="colorScale" priority="180">
      <colorScale>
        <cfvo type="min"/>
        <cfvo type="percentile" val="50"/>
        <cfvo type="max"/>
        <color rgb="FF63BE7B"/>
        <color rgb="FFFFEB84"/>
        <color rgb="FFF8696B"/>
      </colorScale>
    </cfRule>
    <cfRule type="colorScale" priority="179">
      <colorScale>
        <cfvo type="min"/>
        <cfvo type="percentile" val="50"/>
        <cfvo type="max"/>
        <color rgb="FFF8696B"/>
        <color rgb="FFFFEB84"/>
        <color rgb="FF63BE7B"/>
      </colorScale>
    </cfRule>
  </conditionalFormatting>
  <conditionalFormatting sqref="P59:P68">
    <cfRule type="colorScale" priority="177">
      <colorScale>
        <cfvo type="min"/>
        <cfvo type="percentile" val="50"/>
        <cfvo type="max"/>
        <color rgb="FFF8696B"/>
        <color rgb="FFFFEB84"/>
        <color rgb="FF63BE7B"/>
      </colorScale>
    </cfRule>
    <cfRule type="colorScale" priority="178">
      <colorScale>
        <cfvo type="min"/>
        <cfvo type="percentile" val="50"/>
        <cfvo type="max"/>
        <color rgb="FF63BE7B"/>
        <color rgb="FFFFEB84"/>
        <color rgb="FFF8696B"/>
      </colorScale>
    </cfRule>
  </conditionalFormatting>
  <conditionalFormatting sqref="Q56">
    <cfRule type="colorScale" priority="182">
      <colorScale>
        <cfvo type="min"/>
        <cfvo type="percentile" val="50"/>
        <cfvo type="max"/>
        <color rgb="FFF8696B"/>
        <color rgb="FFFFEB84"/>
        <color rgb="FF63BE7B"/>
      </colorScale>
    </cfRule>
    <cfRule type="colorScale" priority="181">
      <colorScale>
        <cfvo type="min"/>
        <cfvo type="percentile" val="50"/>
        <cfvo type="max"/>
        <color rgb="FFF8696B"/>
        <color rgb="FFFFEB84"/>
        <color rgb="FF63BE7B"/>
      </colorScale>
    </cfRule>
  </conditionalFormatting>
  <conditionalFormatting sqref="Q57:Q58">
    <cfRule type="colorScale" priority="143">
      <colorScale>
        <cfvo type="min"/>
        <cfvo type="percentile" val="50"/>
        <cfvo type="max"/>
        <color rgb="FFF8696B"/>
        <color rgb="FFFFEB84"/>
        <color rgb="FF63BE7B"/>
      </colorScale>
    </cfRule>
    <cfRule type="colorScale" priority="155">
      <colorScale>
        <cfvo type="min"/>
        <cfvo type="percentile" val="50"/>
        <cfvo type="max"/>
        <color rgb="FFF8696B"/>
        <color rgb="FFFFEB84"/>
        <color rgb="FF63BE7B"/>
      </colorScale>
    </cfRule>
  </conditionalFormatting>
  <conditionalFormatting sqref="Q59:Q68">
    <cfRule type="colorScale" priority="137">
      <colorScale>
        <cfvo type="min"/>
        <cfvo type="percentile" val="50"/>
        <cfvo type="max"/>
        <color rgb="FFF8696B"/>
        <color rgb="FFFFEB84"/>
        <color rgb="FF63BE7B"/>
      </colorScale>
    </cfRule>
    <cfRule type="colorScale" priority="136">
      <colorScale>
        <cfvo type="min"/>
        <cfvo type="percentile" val="50"/>
        <cfvo type="max"/>
        <color rgb="FFF8696B"/>
        <color rgb="FFFFEB84"/>
        <color rgb="FF63BE7B"/>
      </colorScale>
    </cfRule>
  </conditionalFormatting>
  <conditionalFormatting sqref="Q69:Q73">
    <cfRule type="colorScale" priority="159">
      <colorScale>
        <cfvo type="min"/>
        <cfvo type="percentile" val="50"/>
        <cfvo type="max"/>
        <color rgb="FFF8696B"/>
        <color rgb="FFFFEB84"/>
        <color rgb="FF63BE7B"/>
      </colorScale>
    </cfRule>
  </conditionalFormatting>
  <conditionalFormatting sqref="Q11:R19">
    <cfRule type="colorScale" priority="189">
      <colorScale>
        <cfvo type="min"/>
        <cfvo type="percentile" val="50"/>
        <cfvo type="max"/>
        <color rgb="FFF8696B"/>
        <color rgb="FFFFEB84"/>
        <color rgb="FF63BE7B"/>
      </colorScale>
    </cfRule>
  </conditionalFormatting>
  <conditionalFormatting sqref="Q11:V19">
    <cfRule type="colorScale" priority="190">
      <colorScale>
        <cfvo type="min"/>
        <cfvo type="percentile" val="50"/>
        <cfvo type="max"/>
        <color rgb="FFF8696B"/>
        <color rgb="FFFFEB84"/>
        <color rgb="FF63BE7B"/>
      </colorScale>
    </cfRule>
  </conditionalFormatting>
  <conditionalFormatting sqref="R36:R41">
    <cfRule type="colorScale" priority="50">
      <colorScale>
        <cfvo type="min"/>
        <cfvo type="percentile" val="50"/>
        <cfvo type="max"/>
        <color rgb="FFF8696B"/>
        <color rgb="FFFFEB84"/>
        <color rgb="FF63BE7B"/>
      </colorScale>
    </cfRule>
    <cfRule type="colorScale" priority="51">
      <colorScale>
        <cfvo type="min"/>
        <cfvo type="percentile" val="50"/>
        <cfvo type="max"/>
        <color rgb="FF63BE7B"/>
        <color rgb="FFFFEB84"/>
        <color rgb="FFF8696B"/>
      </colorScale>
    </cfRule>
  </conditionalFormatting>
  <conditionalFormatting sqref="R36:R43">
    <cfRule type="colorScale" priority="53">
      <colorScale>
        <cfvo type="min"/>
        <cfvo type="percentile" val="50"/>
        <cfvo type="max"/>
        <color rgb="FFF8696B"/>
        <color rgb="FFFFEB84"/>
        <color rgb="FF63BE7B"/>
      </colorScale>
    </cfRule>
  </conditionalFormatting>
  <conditionalFormatting sqref="R43">
    <cfRule type="colorScale" priority="52">
      <colorScale>
        <cfvo type="min"/>
        <cfvo type="percentile" val="50"/>
        <cfvo type="max"/>
        <color rgb="FF63BE7B"/>
        <color rgb="FFFFEB84"/>
        <color rgb="FFF8696B"/>
      </colorScale>
    </cfRule>
    <cfRule type="colorScale" priority="48">
      <colorScale>
        <cfvo type="min"/>
        <cfvo type="percentile" val="50"/>
        <cfvo type="max"/>
        <color rgb="FFF8696B"/>
        <color rgb="FFFFEB84"/>
        <color rgb="FF63BE7B"/>
      </colorScale>
    </cfRule>
    <cfRule type="colorScale" priority="49">
      <colorScale>
        <cfvo type="min"/>
        <cfvo type="percentile" val="50"/>
        <cfvo type="max"/>
        <color rgb="FF63BE7B"/>
        <color rgb="FFFFEB84"/>
        <color rgb="FFF8696B"/>
      </colorScale>
    </cfRule>
  </conditionalFormatting>
  <conditionalFormatting sqref="R44">
    <cfRule type="colorScale" priority="104">
      <colorScale>
        <cfvo type="min"/>
        <cfvo type="percentile" val="50"/>
        <cfvo type="max"/>
        <color rgb="FFF8696B"/>
        <color rgb="FFFFEB84"/>
        <color rgb="FF63BE7B"/>
      </colorScale>
    </cfRule>
    <cfRule type="colorScale" priority="105">
      <colorScale>
        <cfvo type="min"/>
        <cfvo type="percentile" val="50"/>
        <cfvo type="max"/>
        <color rgb="FF63BE7B"/>
        <color rgb="FFFFEB84"/>
        <color rgb="FFF8696B"/>
      </colorScale>
    </cfRule>
    <cfRule type="colorScale" priority="103">
      <colorScale>
        <cfvo type="min"/>
        <cfvo type="percentile" val="50"/>
        <cfvo type="max"/>
        <color rgb="FF63BE7B"/>
        <color rgb="FFFFEB84"/>
        <color rgb="FFF8696B"/>
      </colorScale>
    </cfRule>
    <cfRule type="colorScale" priority="102">
      <colorScale>
        <cfvo type="min"/>
        <cfvo type="percentile" val="50"/>
        <cfvo type="max"/>
        <color rgb="FFF8696B"/>
        <color rgb="FFFFEB84"/>
        <color rgb="FF63BE7B"/>
      </colorScale>
    </cfRule>
  </conditionalFormatting>
  <conditionalFormatting sqref="R45:R49">
    <cfRule type="colorScale" priority="121">
      <colorScale>
        <cfvo type="min"/>
        <cfvo type="percentile" val="50"/>
        <cfvo type="max"/>
        <color rgb="FFF8696B"/>
        <color rgb="FFFFEB84"/>
        <color rgb="FF63BE7B"/>
      </colorScale>
    </cfRule>
    <cfRule type="colorScale" priority="120">
      <colorScale>
        <cfvo type="min"/>
        <cfvo type="percentile" val="50"/>
        <cfvo type="max"/>
        <color rgb="FFF8696B"/>
        <color rgb="FFFFEB84"/>
        <color rgb="FF63BE7B"/>
      </colorScale>
    </cfRule>
  </conditionalFormatting>
  <conditionalFormatting sqref="R50:R56">
    <cfRule type="colorScale" priority="142">
      <colorScale>
        <cfvo type="min"/>
        <cfvo type="percentile" val="50"/>
        <cfvo type="max"/>
        <color rgb="FFF8696B"/>
        <color rgb="FFFFEB84"/>
        <color rgb="FF63BE7B"/>
      </colorScale>
    </cfRule>
    <cfRule type="colorScale" priority="141">
      <colorScale>
        <cfvo type="min"/>
        <cfvo type="percentile" val="50"/>
        <cfvo type="max"/>
        <color rgb="FFF8696B"/>
        <color rgb="FFFFEB84"/>
        <color rgb="FF63BE7B"/>
      </colorScale>
    </cfRule>
  </conditionalFormatting>
  <conditionalFormatting sqref="R57:R58">
    <cfRule type="colorScale" priority="156">
      <colorScale>
        <cfvo type="min"/>
        <cfvo type="percentile" val="50"/>
        <cfvo type="max"/>
        <color rgb="FFF8696B"/>
        <color rgb="FFFFEB84"/>
        <color rgb="FF63BE7B"/>
      </colorScale>
    </cfRule>
    <cfRule type="colorScale" priority="144">
      <colorScale>
        <cfvo type="min"/>
        <cfvo type="percentile" val="50"/>
        <cfvo type="max"/>
        <color rgb="FFF8696B"/>
        <color rgb="FFFFEB84"/>
        <color rgb="FF63BE7B"/>
      </colorScale>
    </cfRule>
  </conditionalFormatting>
  <conditionalFormatting sqref="R59:R68">
    <cfRule type="colorScale" priority="134">
      <colorScale>
        <cfvo type="min"/>
        <cfvo type="percentile" val="50"/>
        <cfvo type="max"/>
        <color rgb="FFF8696B"/>
        <color rgb="FFFFEB84"/>
        <color rgb="FF63BE7B"/>
      </colorScale>
    </cfRule>
    <cfRule type="colorScale" priority="135">
      <colorScale>
        <cfvo type="min"/>
        <cfvo type="percentile" val="50"/>
        <cfvo type="max"/>
        <color rgb="FFF8696B"/>
        <color rgb="FFFFEB84"/>
        <color rgb="FF63BE7B"/>
      </colorScale>
    </cfRule>
  </conditionalFormatting>
  <conditionalFormatting sqref="R69:R73">
    <cfRule type="colorScale" priority="160">
      <colorScale>
        <cfvo type="min"/>
        <cfvo type="percentile" val="50"/>
        <cfvo type="max"/>
        <color rgb="FFF8696B"/>
        <color rgb="FFFFEB84"/>
        <color rgb="FF63BE7B"/>
      </colorScale>
    </cfRule>
  </conditionalFormatting>
  <conditionalFormatting sqref="R42:V42">
    <cfRule type="colorScale" priority="184">
      <colorScale>
        <cfvo type="min"/>
        <cfvo type="percentile" val="50"/>
        <cfvo type="max"/>
        <color rgb="FF63BE7B"/>
        <color rgb="FFFFEB84"/>
        <color rgb="FFF8696B"/>
      </colorScale>
    </cfRule>
    <cfRule type="colorScale" priority="183">
      <colorScale>
        <cfvo type="min"/>
        <cfvo type="percentile" val="50"/>
        <cfvo type="max"/>
        <color rgb="FFF8696B"/>
        <color rgb="FFFFEB84"/>
        <color rgb="FF63BE7B"/>
      </colorScale>
    </cfRule>
  </conditionalFormatting>
  <conditionalFormatting sqref="S36:S41 S43">
    <cfRule type="colorScale" priority="54">
      <colorScale>
        <cfvo type="min"/>
        <cfvo type="percentile" val="50"/>
        <cfvo type="max"/>
        <color rgb="FFF8696B"/>
        <color rgb="FFFFEB84"/>
        <color rgb="FF63BE7B"/>
      </colorScale>
    </cfRule>
    <cfRule type="colorScale" priority="55">
      <colorScale>
        <cfvo type="min"/>
        <cfvo type="percentile" val="50"/>
        <cfvo type="max"/>
        <color rgb="FF63BE7B"/>
        <color rgb="FFFFEB84"/>
        <color rgb="FFF8696B"/>
      </colorScale>
    </cfRule>
  </conditionalFormatting>
  <conditionalFormatting sqref="S36:S43">
    <cfRule type="colorScale" priority="57">
      <colorScale>
        <cfvo type="min"/>
        <cfvo type="percentile" val="50"/>
        <cfvo type="max"/>
        <color rgb="FFF8696B"/>
        <color rgb="FFFFEB84"/>
        <color rgb="FF63BE7B"/>
      </colorScale>
    </cfRule>
  </conditionalFormatting>
  <conditionalFormatting sqref="S43">
    <cfRule type="colorScale" priority="56">
      <colorScale>
        <cfvo type="min"/>
        <cfvo type="percentile" val="50"/>
        <cfvo type="max"/>
        <color rgb="FF63BE7B"/>
        <color rgb="FFFFEB84"/>
        <color rgb="FFF8696B"/>
      </colorScale>
    </cfRule>
  </conditionalFormatting>
  <conditionalFormatting sqref="S44">
    <cfRule type="colorScale" priority="101">
      <colorScale>
        <cfvo type="min"/>
        <cfvo type="percentile" val="50"/>
        <cfvo type="max"/>
        <color rgb="FF63BE7B"/>
        <color rgb="FFFFEB84"/>
        <color rgb="FFF8696B"/>
      </colorScale>
    </cfRule>
    <cfRule type="colorScale" priority="100">
      <colorScale>
        <cfvo type="min"/>
        <cfvo type="percentile" val="50"/>
        <cfvo type="max"/>
        <color rgb="FFF8696B"/>
        <color rgb="FFFFEB84"/>
        <color rgb="FF63BE7B"/>
      </colorScale>
    </cfRule>
    <cfRule type="colorScale" priority="99">
      <colorScale>
        <cfvo type="min"/>
        <cfvo type="percentile" val="50"/>
        <cfvo type="max"/>
        <color rgb="FF63BE7B"/>
        <color rgb="FFFFEB84"/>
        <color rgb="FFF8696B"/>
      </colorScale>
    </cfRule>
    <cfRule type="colorScale" priority="98">
      <colorScale>
        <cfvo type="min"/>
        <cfvo type="percentile" val="50"/>
        <cfvo type="max"/>
        <color rgb="FFF8696B"/>
        <color rgb="FFFFEB84"/>
        <color rgb="FF63BE7B"/>
      </colorScale>
    </cfRule>
  </conditionalFormatting>
  <conditionalFormatting sqref="S45:S49">
    <cfRule type="colorScale" priority="119">
      <colorScale>
        <cfvo type="min"/>
        <cfvo type="percentile" val="50"/>
        <cfvo type="max"/>
        <color rgb="FFF8696B"/>
        <color rgb="FFFFEB84"/>
        <color rgb="FF63BE7B"/>
      </colorScale>
    </cfRule>
    <cfRule type="colorScale" priority="118">
      <colorScale>
        <cfvo type="min"/>
        <cfvo type="percentile" val="50"/>
        <cfvo type="max"/>
        <color rgb="FFF8696B"/>
        <color rgb="FFFFEB84"/>
        <color rgb="FF63BE7B"/>
      </colorScale>
    </cfRule>
  </conditionalFormatting>
  <conditionalFormatting sqref="S50:S51 S53:S58">
    <cfRule type="colorScale" priority="145">
      <colorScale>
        <cfvo type="min"/>
        <cfvo type="percentile" val="50"/>
        <cfvo type="max"/>
        <color rgb="FFF8696B"/>
        <color rgb="FFFFEB84"/>
        <color rgb="FF63BE7B"/>
      </colorScale>
    </cfRule>
  </conditionalFormatting>
  <conditionalFormatting sqref="S50:S58">
    <cfRule type="colorScale" priority="157">
      <colorScale>
        <cfvo type="min"/>
        <cfvo type="percentile" val="50"/>
        <cfvo type="max"/>
        <color rgb="FFF8696B"/>
        <color rgb="FFFFEB84"/>
        <color rgb="FF63BE7B"/>
      </colorScale>
    </cfRule>
  </conditionalFormatting>
  <conditionalFormatting sqref="S52">
    <cfRule type="colorScale" priority="123">
      <colorScale>
        <cfvo type="min"/>
        <cfvo type="percentile" val="50"/>
        <cfvo type="max"/>
        <color rgb="FFF8696B"/>
        <color rgb="FFFFEB84"/>
        <color rgb="FF63BE7B"/>
      </colorScale>
    </cfRule>
  </conditionalFormatting>
  <conditionalFormatting sqref="S59:S68">
    <cfRule type="colorScale" priority="133">
      <colorScale>
        <cfvo type="min"/>
        <cfvo type="percentile" val="50"/>
        <cfvo type="max"/>
        <color rgb="FFF8696B"/>
        <color rgb="FFFFEB84"/>
        <color rgb="FF63BE7B"/>
      </colorScale>
    </cfRule>
  </conditionalFormatting>
  <conditionalFormatting sqref="S69:S73">
    <cfRule type="colorScale" priority="161">
      <colorScale>
        <cfvo type="min"/>
        <cfvo type="percentile" val="50"/>
        <cfvo type="max"/>
        <color rgb="FFF8696B"/>
        <color rgb="FFFFEB84"/>
        <color rgb="FF63BE7B"/>
      </colorScale>
    </cfRule>
  </conditionalFormatting>
  <conditionalFormatting sqref="S11:T19">
    <cfRule type="colorScale" priority="194">
      <colorScale>
        <cfvo type="min"/>
        <cfvo type="percentile" val="50"/>
        <cfvo type="max"/>
        <color rgb="FFF8696B"/>
        <color rgb="FFFFEB84"/>
        <color rgb="FF63BE7B"/>
      </colorScale>
    </cfRule>
  </conditionalFormatting>
  <conditionalFormatting sqref="T36:T41 T43">
    <cfRule type="colorScale" priority="58">
      <colorScale>
        <cfvo type="min"/>
        <cfvo type="percentile" val="50"/>
        <cfvo type="max"/>
        <color rgb="FFF8696B"/>
        <color rgb="FFFFEB84"/>
        <color rgb="FF63BE7B"/>
      </colorScale>
    </cfRule>
    <cfRule type="colorScale" priority="59">
      <colorScale>
        <cfvo type="min"/>
        <cfvo type="percentile" val="50"/>
        <cfvo type="max"/>
        <color rgb="FF63BE7B"/>
        <color rgb="FFFFEB84"/>
        <color rgb="FFF8696B"/>
      </colorScale>
    </cfRule>
  </conditionalFormatting>
  <conditionalFormatting sqref="T36:T43">
    <cfRule type="colorScale" priority="61">
      <colorScale>
        <cfvo type="min"/>
        <cfvo type="percentile" val="50"/>
        <cfvo type="max"/>
        <color rgb="FFF8696B"/>
        <color rgb="FFFFEB84"/>
        <color rgb="FF63BE7B"/>
      </colorScale>
    </cfRule>
  </conditionalFormatting>
  <conditionalFormatting sqref="T43">
    <cfRule type="colorScale" priority="60">
      <colorScale>
        <cfvo type="min"/>
        <cfvo type="percentile" val="50"/>
        <cfvo type="max"/>
        <color rgb="FF63BE7B"/>
        <color rgb="FFFFEB84"/>
        <color rgb="FFF8696B"/>
      </colorScale>
    </cfRule>
  </conditionalFormatting>
  <conditionalFormatting sqref="T44">
    <cfRule type="colorScale" priority="97">
      <colorScale>
        <cfvo type="min"/>
        <cfvo type="percentile" val="50"/>
        <cfvo type="max"/>
        <color rgb="FF63BE7B"/>
        <color rgb="FFFFEB84"/>
        <color rgb="FFF8696B"/>
      </colorScale>
    </cfRule>
    <cfRule type="colorScale" priority="94">
      <colorScale>
        <cfvo type="min"/>
        <cfvo type="percentile" val="50"/>
        <cfvo type="max"/>
        <color rgb="FFF8696B"/>
        <color rgb="FFFFEB84"/>
        <color rgb="FF63BE7B"/>
      </colorScale>
    </cfRule>
    <cfRule type="colorScale" priority="96">
      <colorScale>
        <cfvo type="min"/>
        <cfvo type="percentile" val="50"/>
        <cfvo type="max"/>
        <color rgb="FFF8696B"/>
        <color rgb="FFFFEB84"/>
        <color rgb="FF63BE7B"/>
      </colorScale>
    </cfRule>
    <cfRule type="colorScale" priority="95">
      <colorScale>
        <cfvo type="min"/>
        <cfvo type="percentile" val="50"/>
        <cfvo type="max"/>
        <color rgb="FF63BE7B"/>
        <color rgb="FFFFEB84"/>
        <color rgb="FFF8696B"/>
      </colorScale>
    </cfRule>
  </conditionalFormatting>
  <conditionalFormatting sqref="T45:T49">
    <cfRule type="colorScale" priority="117">
      <colorScale>
        <cfvo type="min"/>
        <cfvo type="percentile" val="50"/>
        <cfvo type="max"/>
        <color rgb="FFF8696B"/>
        <color rgb="FFFFEB84"/>
        <color rgb="FF63BE7B"/>
      </colorScale>
    </cfRule>
    <cfRule type="colorScale" priority="116">
      <colorScale>
        <cfvo type="min"/>
        <cfvo type="percentile" val="50"/>
        <cfvo type="max"/>
        <color rgb="FFF8696B"/>
        <color rgb="FFFFEB84"/>
        <color rgb="FF63BE7B"/>
      </colorScale>
    </cfRule>
  </conditionalFormatting>
  <conditionalFormatting sqref="T50:T51 T53:T58">
    <cfRule type="colorScale" priority="153">
      <colorScale>
        <cfvo type="min"/>
        <cfvo type="percentile" val="50"/>
        <cfvo type="max"/>
        <color rgb="FFF8696B"/>
        <color rgb="FFFFEB84"/>
        <color rgb="FF63BE7B"/>
      </colorScale>
    </cfRule>
  </conditionalFormatting>
  <conditionalFormatting sqref="T50:T58">
    <cfRule type="colorScale" priority="158">
      <colorScale>
        <cfvo type="min"/>
        <cfvo type="percentile" val="50"/>
        <cfvo type="max"/>
        <color rgb="FFF8696B"/>
        <color rgb="FFFFEB84"/>
        <color rgb="FF63BE7B"/>
      </colorScale>
    </cfRule>
  </conditionalFormatting>
  <conditionalFormatting sqref="T52">
    <cfRule type="colorScale" priority="122">
      <colorScale>
        <cfvo type="min"/>
        <cfvo type="percentile" val="50"/>
        <cfvo type="max"/>
        <color rgb="FFF8696B"/>
        <color rgb="FFFFEB84"/>
        <color rgb="FF63BE7B"/>
      </colorScale>
    </cfRule>
  </conditionalFormatting>
  <conditionalFormatting sqref="T59:T68">
    <cfRule type="colorScale" priority="132">
      <colorScale>
        <cfvo type="min"/>
        <cfvo type="percentile" val="50"/>
        <cfvo type="max"/>
        <color rgb="FFF8696B"/>
        <color rgb="FFFFEB84"/>
        <color rgb="FF63BE7B"/>
      </colorScale>
    </cfRule>
  </conditionalFormatting>
  <conditionalFormatting sqref="T69:T73">
    <cfRule type="colorScale" priority="162">
      <colorScale>
        <cfvo type="min"/>
        <cfvo type="percentile" val="50"/>
        <cfvo type="max"/>
        <color rgb="FFF8696B"/>
        <color rgb="FFFFEB84"/>
        <color rgb="FF63BE7B"/>
      </colorScale>
    </cfRule>
  </conditionalFormatting>
  <conditionalFormatting sqref="U36:U41">
    <cfRule type="colorScale" priority="66">
      <colorScale>
        <cfvo type="min"/>
        <cfvo type="percentile" val="50"/>
        <cfvo type="max"/>
        <color rgb="FFF8696B"/>
        <color rgb="FFFFEB84"/>
        <color rgb="FF63BE7B"/>
      </colorScale>
    </cfRule>
    <cfRule type="colorScale" priority="67">
      <colorScale>
        <cfvo type="min"/>
        <cfvo type="percentile" val="50"/>
        <cfvo type="max"/>
        <color rgb="FF63BE7B"/>
        <color rgb="FFFFEB84"/>
        <color rgb="FFF8696B"/>
      </colorScale>
    </cfRule>
  </conditionalFormatting>
  <conditionalFormatting sqref="U36:U43">
    <cfRule type="colorScale" priority="69">
      <colorScale>
        <cfvo type="min"/>
        <cfvo type="percentile" val="50"/>
        <cfvo type="max"/>
        <color rgb="FFF8696B"/>
        <color rgb="FFFFEB84"/>
        <color rgb="FF63BE7B"/>
      </colorScale>
    </cfRule>
  </conditionalFormatting>
  <conditionalFormatting sqref="U43">
    <cfRule type="colorScale" priority="68">
      <colorScale>
        <cfvo type="min"/>
        <cfvo type="percentile" val="50"/>
        <cfvo type="max"/>
        <color rgb="FF63BE7B"/>
        <color rgb="FFFFEB84"/>
        <color rgb="FFF8696B"/>
      </colorScale>
    </cfRule>
    <cfRule type="colorScale" priority="62">
      <colorScale>
        <cfvo type="min"/>
        <cfvo type="percentile" val="50"/>
        <cfvo type="max"/>
        <color rgb="FFF8696B"/>
        <color rgb="FFFFEB84"/>
        <color rgb="FF63BE7B"/>
      </colorScale>
    </cfRule>
    <cfRule type="colorScale" priority="63">
      <colorScale>
        <cfvo type="min"/>
        <cfvo type="percentile" val="50"/>
        <cfvo type="max"/>
        <color rgb="FF63BE7B"/>
        <color rgb="FFFFEB84"/>
        <color rgb="FFF8696B"/>
      </colorScale>
    </cfRule>
  </conditionalFormatting>
  <conditionalFormatting sqref="U44">
    <cfRule type="colorScale" priority="93">
      <colorScale>
        <cfvo type="min"/>
        <cfvo type="percentile" val="50"/>
        <cfvo type="max"/>
        <color rgb="FF63BE7B"/>
        <color rgb="FFFFEB84"/>
        <color rgb="FFF8696B"/>
      </colorScale>
    </cfRule>
    <cfRule type="colorScale" priority="91">
      <colorScale>
        <cfvo type="min"/>
        <cfvo type="percentile" val="50"/>
        <cfvo type="max"/>
        <color rgb="FF63BE7B"/>
        <color rgb="FFFFEB84"/>
        <color rgb="FFF8696B"/>
      </colorScale>
    </cfRule>
    <cfRule type="colorScale" priority="90">
      <colorScale>
        <cfvo type="min"/>
        <cfvo type="percentile" val="50"/>
        <cfvo type="max"/>
        <color rgb="FFF8696B"/>
        <color rgb="FFFFEB84"/>
        <color rgb="FF63BE7B"/>
      </colorScale>
    </cfRule>
    <cfRule type="colorScale" priority="92">
      <colorScale>
        <cfvo type="min"/>
        <cfvo type="percentile" val="50"/>
        <cfvo type="max"/>
        <color rgb="FFF8696B"/>
        <color rgb="FFFFEB84"/>
        <color rgb="FF63BE7B"/>
      </colorScale>
    </cfRule>
  </conditionalFormatting>
  <conditionalFormatting sqref="U45:U49">
    <cfRule type="colorScale" priority="114">
      <colorScale>
        <cfvo type="min"/>
        <cfvo type="percentile" val="50"/>
        <cfvo type="max"/>
        <color rgb="FFF8696B"/>
        <color rgb="FFFFEB84"/>
        <color rgb="FF63BE7B"/>
      </colorScale>
    </cfRule>
    <cfRule type="colorScale" priority="115">
      <colorScale>
        <cfvo type="min"/>
        <cfvo type="percentile" val="50"/>
        <cfvo type="max"/>
        <color rgb="FFF8696B"/>
        <color rgb="FFFFEB84"/>
        <color rgb="FF63BE7B"/>
      </colorScale>
    </cfRule>
  </conditionalFormatting>
  <conditionalFormatting sqref="U50:U58">
    <cfRule type="colorScale" priority="146">
      <colorScale>
        <cfvo type="min"/>
        <cfvo type="percentile" val="50"/>
        <cfvo type="max"/>
        <color rgb="FFF8696B"/>
        <color rgb="FFFFEB84"/>
        <color rgb="FF63BE7B"/>
      </colorScale>
    </cfRule>
  </conditionalFormatting>
  <conditionalFormatting sqref="U59:U68">
    <cfRule type="colorScale" priority="131">
      <colorScale>
        <cfvo type="min"/>
        <cfvo type="percentile" val="50"/>
        <cfvo type="max"/>
        <color rgb="FFF8696B"/>
        <color rgb="FFFFEB84"/>
        <color rgb="FF63BE7B"/>
      </colorScale>
    </cfRule>
  </conditionalFormatting>
  <conditionalFormatting sqref="U69:U73">
    <cfRule type="colorScale" priority="163">
      <colorScale>
        <cfvo type="min"/>
        <cfvo type="percentile" val="50"/>
        <cfvo type="max"/>
        <color rgb="FFF8696B"/>
        <color rgb="FFFFEB84"/>
        <color rgb="FF63BE7B"/>
      </colorScale>
    </cfRule>
  </conditionalFormatting>
  <conditionalFormatting sqref="V36:V38 V40:V41">
    <cfRule type="colorScale" priority="71">
      <colorScale>
        <cfvo type="min"/>
        <cfvo type="percentile" val="50"/>
        <cfvo type="max"/>
        <color rgb="FF63BE7B"/>
        <color rgb="FFFFEB84"/>
        <color rgb="FFF8696B"/>
      </colorScale>
    </cfRule>
    <cfRule type="colorScale" priority="70">
      <colorScale>
        <cfvo type="min"/>
        <cfvo type="percentile" val="50"/>
        <cfvo type="max"/>
        <color rgb="FFF8696B"/>
        <color rgb="FFFFEB84"/>
        <color rgb="FF63BE7B"/>
      </colorScale>
    </cfRule>
  </conditionalFormatting>
  <conditionalFormatting sqref="V36:V38 V40:V43">
    <cfRule type="colorScale" priority="73">
      <colorScale>
        <cfvo type="min"/>
        <cfvo type="percentile" val="50"/>
        <cfvo type="max"/>
        <color rgb="FFF8696B"/>
        <color rgb="FFFFEB84"/>
        <color rgb="FF63BE7B"/>
      </colorScale>
    </cfRule>
  </conditionalFormatting>
  <conditionalFormatting sqref="V43">
    <cfRule type="colorScale" priority="72">
      <colorScale>
        <cfvo type="min"/>
        <cfvo type="percentile" val="50"/>
        <cfvo type="max"/>
        <color rgb="FF63BE7B"/>
        <color rgb="FFFFEB84"/>
        <color rgb="FFF8696B"/>
      </colorScale>
    </cfRule>
    <cfRule type="colorScale" priority="64">
      <colorScale>
        <cfvo type="min"/>
        <cfvo type="percentile" val="50"/>
        <cfvo type="max"/>
        <color rgb="FFF8696B"/>
        <color rgb="FFFFEB84"/>
        <color rgb="FF63BE7B"/>
      </colorScale>
    </cfRule>
    <cfRule type="colorScale" priority="65">
      <colorScale>
        <cfvo type="min"/>
        <cfvo type="percentile" val="50"/>
        <cfvo type="max"/>
        <color rgb="FF63BE7B"/>
        <color rgb="FFFFEB84"/>
        <color rgb="FFF8696B"/>
      </colorScale>
    </cfRule>
  </conditionalFormatting>
  <conditionalFormatting sqref="V44">
    <cfRule type="colorScale" priority="89">
      <colorScale>
        <cfvo type="min"/>
        <cfvo type="percentile" val="50"/>
        <cfvo type="max"/>
        <color rgb="FF63BE7B"/>
        <color rgb="FFFFEB84"/>
        <color rgb="FFF8696B"/>
      </colorScale>
    </cfRule>
    <cfRule type="colorScale" priority="88">
      <colorScale>
        <cfvo type="min"/>
        <cfvo type="percentile" val="50"/>
        <cfvo type="max"/>
        <color rgb="FFF8696B"/>
        <color rgb="FFFFEB84"/>
        <color rgb="FF63BE7B"/>
      </colorScale>
    </cfRule>
    <cfRule type="colorScale" priority="87">
      <colorScale>
        <cfvo type="min"/>
        <cfvo type="percentile" val="50"/>
        <cfvo type="max"/>
        <color rgb="FF63BE7B"/>
        <color rgb="FFFFEB84"/>
        <color rgb="FFF8696B"/>
      </colorScale>
    </cfRule>
    <cfRule type="colorScale" priority="86">
      <colorScale>
        <cfvo type="min"/>
        <cfvo type="percentile" val="50"/>
        <cfvo type="max"/>
        <color rgb="FFF8696B"/>
        <color rgb="FFFFEB84"/>
        <color rgb="FF63BE7B"/>
      </colorScale>
    </cfRule>
  </conditionalFormatting>
  <conditionalFormatting sqref="V45:V49">
    <cfRule type="colorScale" priority="112">
      <colorScale>
        <cfvo type="min"/>
        <cfvo type="percentile" val="50"/>
        <cfvo type="max"/>
        <color rgb="FFF8696B"/>
        <color rgb="FFFFEB84"/>
        <color rgb="FF63BE7B"/>
      </colorScale>
    </cfRule>
    <cfRule type="colorScale" priority="113">
      <colorScale>
        <cfvo type="min"/>
        <cfvo type="percentile" val="50"/>
        <cfvo type="max"/>
        <color rgb="FFF8696B"/>
        <color rgb="FFFFEB84"/>
        <color rgb="FF63BE7B"/>
      </colorScale>
    </cfRule>
  </conditionalFormatting>
  <conditionalFormatting sqref="V50:V58">
    <cfRule type="colorScale" priority="147">
      <colorScale>
        <cfvo type="min"/>
        <cfvo type="percentile" val="50"/>
        <cfvo type="max"/>
        <color rgb="FFF8696B"/>
        <color rgb="FFFFEB84"/>
        <color rgb="FF63BE7B"/>
      </colorScale>
    </cfRule>
  </conditionalFormatting>
  <conditionalFormatting sqref="V59:V68">
    <cfRule type="colorScale" priority="130">
      <colorScale>
        <cfvo type="min"/>
        <cfvo type="percentile" val="50"/>
        <cfvo type="max"/>
        <color rgb="FFF8696B"/>
        <color rgb="FFFFEB84"/>
        <color rgb="FF63BE7B"/>
      </colorScale>
    </cfRule>
  </conditionalFormatting>
  <conditionalFormatting sqref="V69:V73">
    <cfRule type="colorScale" priority="164">
      <colorScale>
        <cfvo type="min"/>
        <cfvo type="percentile" val="50"/>
        <cfvo type="max"/>
        <color rgb="FFF8696B"/>
        <color rgb="FFFFEB84"/>
        <color rgb="FF63BE7B"/>
      </colorScale>
    </cfRule>
  </conditionalFormatting>
  <conditionalFormatting sqref="X12:X19">
    <cfRule type="colorScale" priority="26">
      <colorScale>
        <cfvo type="min"/>
        <cfvo type="percentile" val="50"/>
        <cfvo type="max"/>
        <color rgb="FF63BE7B"/>
        <color rgb="FFFFEB84"/>
        <color rgb="FFF8696B"/>
      </colorScale>
    </cfRule>
  </conditionalFormatting>
  <conditionalFormatting sqref="X19:X20">
    <cfRule type="colorScale" priority="12">
      <colorScale>
        <cfvo type="min"/>
        <cfvo type="percentile" val="50"/>
        <cfvo type="max"/>
        <color rgb="FF63BE7B"/>
        <color rgb="FFFFEB84"/>
        <color rgb="FFF8696B"/>
      </colorScale>
    </cfRule>
  </conditionalFormatting>
  <conditionalFormatting sqref="X36:X43">
    <cfRule type="colorScale" priority="74">
      <colorScale>
        <cfvo type="min"/>
        <cfvo type="percentile" val="50"/>
        <cfvo type="max"/>
        <color rgb="FF63BE7B"/>
        <color rgb="FFFFEB84"/>
        <color rgb="FFF8696B"/>
      </colorScale>
    </cfRule>
  </conditionalFormatting>
  <conditionalFormatting sqref="X44">
    <cfRule type="colorScale" priority="85">
      <colorScale>
        <cfvo type="min"/>
        <cfvo type="percentile" val="50"/>
        <cfvo type="max"/>
        <color rgb="FF63BE7B"/>
        <color rgb="FFFFEB84"/>
        <color rgb="FFF8696B"/>
      </colorScale>
    </cfRule>
  </conditionalFormatting>
  <conditionalFormatting sqref="X45:X49">
    <cfRule type="colorScale" priority="111">
      <colorScale>
        <cfvo type="min"/>
        <cfvo type="percentile" val="50"/>
        <cfvo type="max"/>
        <color rgb="FF63BE7B"/>
        <color rgb="FFFFEB84"/>
        <color rgb="FFF8696B"/>
      </colorScale>
    </cfRule>
  </conditionalFormatting>
  <conditionalFormatting sqref="X50:X56">
    <cfRule type="colorScale" priority="140">
      <colorScale>
        <cfvo type="min"/>
        <cfvo type="percentile" val="50"/>
        <cfvo type="max"/>
        <color rgb="FF63BE7B"/>
        <color rgb="FFFFEB84"/>
        <color rgb="FFF8696B"/>
      </colorScale>
    </cfRule>
  </conditionalFormatting>
  <conditionalFormatting sqref="X57:X58">
    <cfRule type="colorScale" priority="148">
      <colorScale>
        <cfvo type="min"/>
        <cfvo type="percentile" val="50"/>
        <cfvo type="max"/>
        <color rgb="FF63BE7B"/>
        <color rgb="FFFFEB84"/>
        <color rgb="FFF8696B"/>
      </colorScale>
    </cfRule>
  </conditionalFormatting>
  <conditionalFormatting sqref="X59:X68">
    <cfRule type="colorScale" priority="129">
      <colorScale>
        <cfvo type="min"/>
        <cfvo type="percentile" val="50"/>
        <cfvo type="max"/>
        <color rgb="FF63BE7B"/>
        <color rgb="FFFFEB84"/>
        <color rgb="FFF8696B"/>
      </colorScale>
    </cfRule>
  </conditionalFormatting>
  <conditionalFormatting sqref="X69:X73">
    <cfRule type="colorScale" priority="165">
      <colorScale>
        <cfvo type="min"/>
        <cfvo type="percentile" val="50"/>
        <cfvo type="max"/>
        <color rgb="FF63BE7B"/>
        <color rgb="FFFFEB84"/>
        <color rgb="FFF8696B"/>
      </colorScale>
    </cfRule>
  </conditionalFormatting>
  <conditionalFormatting sqref="X11:AC20">
    <cfRule type="colorScale" priority="7">
      <colorScale>
        <cfvo type="min"/>
        <cfvo type="percentile" val="50"/>
        <cfvo type="max"/>
        <color rgb="FFF8696B"/>
        <color rgb="FFFFEB84"/>
        <color rgb="FF63BE7B"/>
      </colorScale>
    </cfRule>
    <cfRule type="colorScale" priority="6">
      <colorScale>
        <cfvo type="min"/>
        <cfvo type="percentile" val="50"/>
        <cfvo type="max"/>
        <color rgb="FFF8696B"/>
        <color rgb="FFFFEB84"/>
        <color rgb="FF63BE7B"/>
      </colorScale>
    </cfRule>
    <cfRule type="colorScale" priority="5">
      <colorScale>
        <cfvo type="min"/>
        <cfvo type="percentile" val="50"/>
        <cfvo type="max"/>
        <color rgb="FF63BE7B"/>
        <color rgb="FFFFEB84"/>
        <color rgb="FFF8696B"/>
      </colorScale>
    </cfRule>
  </conditionalFormatting>
  <conditionalFormatting sqref="X19:AC20">
    <cfRule type="colorScale" priority="13">
      <colorScale>
        <cfvo type="min"/>
        <cfvo type="percentile" val="50"/>
        <cfvo type="max"/>
        <color rgb="FF63BE7B"/>
        <color rgb="FFFFEB84"/>
        <color rgb="FFF8696B"/>
      </colorScale>
    </cfRule>
  </conditionalFormatting>
  <conditionalFormatting sqref="Y11:Y19">
    <cfRule type="colorScale" priority="28">
      <colorScale>
        <cfvo type="min"/>
        <cfvo type="percentile" val="50"/>
        <cfvo type="max"/>
        <color rgb="FF63BE7B"/>
        <color rgb="FFFFEB84"/>
        <color rgb="FFF8696B"/>
      </colorScale>
    </cfRule>
  </conditionalFormatting>
  <conditionalFormatting sqref="Y12:Y19">
    <cfRule type="colorScale" priority="29">
      <colorScale>
        <cfvo type="min"/>
        <cfvo type="percentile" val="50"/>
        <cfvo type="max"/>
        <color rgb="FF63BE7B"/>
        <color rgb="FFFFEB84"/>
        <color rgb="FFF8696B"/>
      </colorScale>
    </cfRule>
  </conditionalFormatting>
  <conditionalFormatting sqref="Y19:Y20">
    <cfRule type="colorScale" priority="15">
      <colorScale>
        <cfvo type="min"/>
        <cfvo type="percentile" val="50"/>
        <cfvo type="max"/>
        <color rgb="FF63BE7B"/>
        <color rgb="FFFFEB84"/>
        <color rgb="FFF8696B"/>
      </colorScale>
    </cfRule>
    <cfRule type="colorScale" priority="14">
      <colorScale>
        <cfvo type="min"/>
        <cfvo type="percentile" val="50"/>
        <cfvo type="max"/>
        <color rgb="FF63BE7B"/>
        <color rgb="FFFFEB84"/>
        <color rgb="FFF8696B"/>
      </colorScale>
    </cfRule>
  </conditionalFormatting>
  <conditionalFormatting sqref="Y36:Y43">
    <cfRule type="colorScale" priority="75">
      <colorScale>
        <cfvo type="min"/>
        <cfvo type="percentile" val="50"/>
        <cfvo type="max"/>
        <color rgb="FF63BE7B"/>
        <color rgb="FFFFEB84"/>
        <color rgb="FFF8696B"/>
      </colorScale>
    </cfRule>
  </conditionalFormatting>
  <conditionalFormatting sqref="Y44">
    <cfRule type="colorScale" priority="84">
      <colorScale>
        <cfvo type="min"/>
        <cfvo type="percentile" val="50"/>
        <cfvo type="max"/>
        <color rgb="FF63BE7B"/>
        <color rgb="FFFFEB84"/>
        <color rgb="FFF8696B"/>
      </colorScale>
    </cfRule>
  </conditionalFormatting>
  <conditionalFormatting sqref="Y45:Y49">
    <cfRule type="colorScale" priority="110">
      <colorScale>
        <cfvo type="min"/>
        <cfvo type="percentile" val="50"/>
        <cfvo type="max"/>
        <color rgb="FF63BE7B"/>
        <color rgb="FFFFEB84"/>
        <color rgb="FFF8696B"/>
      </colorScale>
    </cfRule>
  </conditionalFormatting>
  <conditionalFormatting sqref="Y50:Y58">
    <cfRule type="colorScale" priority="149">
      <colorScale>
        <cfvo type="min"/>
        <cfvo type="percentile" val="50"/>
        <cfvo type="max"/>
        <color rgb="FF63BE7B"/>
        <color rgb="FFFFEB84"/>
        <color rgb="FFF8696B"/>
      </colorScale>
    </cfRule>
  </conditionalFormatting>
  <conditionalFormatting sqref="Y59:Y68">
    <cfRule type="colorScale" priority="128">
      <colorScale>
        <cfvo type="min"/>
        <cfvo type="percentile" val="50"/>
        <cfvo type="max"/>
        <color rgb="FF63BE7B"/>
        <color rgb="FFFFEB84"/>
        <color rgb="FFF8696B"/>
      </colorScale>
    </cfRule>
  </conditionalFormatting>
  <conditionalFormatting sqref="Y69:Y73">
    <cfRule type="colorScale" priority="166">
      <colorScale>
        <cfvo type="min"/>
        <cfvo type="percentile" val="50"/>
        <cfvo type="max"/>
        <color rgb="FF63BE7B"/>
        <color rgb="FFFFEB84"/>
        <color rgb="FFF8696B"/>
      </colorScale>
    </cfRule>
  </conditionalFormatting>
  <conditionalFormatting sqref="Y11:AC11 X12:AC19">
    <cfRule type="colorScale" priority="27">
      <colorScale>
        <cfvo type="min"/>
        <cfvo type="percentile" val="50"/>
        <cfvo type="max"/>
        <color rgb="FF63BE7B"/>
        <color rgb="FFFFEB84"/>
        <color rgb="FFF8696B"/>
      </colorScale>
    </cfRule>
  </conditionalFormatting>
  <conditionalFormatting sqref="Y11:AC11 X12:AC20">
    <cfRule type="colorScale" priority="8">
      <colorScale>
        <cfvo type="min"/>
        <cfvo type="percentile" val="50"/>
        <cfvo type="max"/>
        <color rgb="FF63BE7B"/>
        <color rgb="FFFFEB84"/>
        <color rgb="FFF8696B"/>
      </colorScale>
    </cfRule>
  </conditionalFormatting>
  <conditionalFormatting sqref="Z11:Z12">
    <cfRule type="colorScale" priority="25">
      <colorScale>
        <cfvo type="min"/>
        <cfvo type="percentile" val="50"/>
        <cfvo type="max"/>
        <color rgb="FF63BE7B"/>
        <color rgb="FFFFEB84"/>
        <color rgb="FFF8696B"/>
      </colorScale>
    </cfRule>
  </conditionalFormatting>
  <conditionalFormatting sqref="Z13:Z19">
    <cfRule type="colorScale" priority="30">
      <colorScale>
        <cfvo type="min"/>
        <cfvo type="percentile" val="50"/>
        <cfvo type="max"/>
        <color rgb="FF63BE7B"/>
        <color rgb="FFFFEB84"/>
        <color rgb="FFF8696B"/>
      </colorScale>
    </cfRule>
    <cfRule type="colorScale" priority="4">
      <colorScale>
        <cfvo type="min"/>
        <cfvo type="percentile" val="50"/>
        <cfvo type="max"/>
        <color rgb="FF63BE7B"/>
        <color rgb="FFFFEB84"/>
        <color rgb="FFF8696B"/>
      </colorScale>
    </cfRule>
  </conditionalFormatting>
  <conditionalFormatting sqref="Z19:Z20">
    <cfRule type="colorScale" priority="16">
      <colorScale>
        <cfvo type="min"/>
        <cfvo type="percentile" val="50"/>
        <cfvo type="max"/>
        <color rgb="FF63BE7B"/>
        <color rgb="FFFFEB84"/>
        <color rgb="FFF8696B"/>
      </colorScale>
    </cfRule>
  </conditionalFormatting>
  <conditionalFormatting sqref="Z36:Z43">
    <cfRule type="colorScale" priority="76">
      <colorScale>
        <cfvo type="min"/>
        <cfvo type="percentile" val="50"/>
        <cfvo type="max"/>
        <color rgb="FF63BE7B"/>
        <color rgb="FFFFEB84"/>
        <color rgb="FFF8696B"/>
      </colorScale>
    </cfRule>
  </conditionalFormatting>
  <conditionalFormatting sqref="Z44">
    <cfRule type="colorScale" priority="83">
      <colorScale>
        <cfvo type="min"/>
        <cfvo type="percentile" val="50"/>
        <cfvo type="max"/>
        <color rgb="FF63BE7B"/>
        <color rgb="FFFFEB84"/>
        <color rgb="FFF8696B"/>
      </colorScale>
    </cfRule>
  </conditionalFormatting>
  <conditionalFormatting sqref="Z45:Z49">
    <cfRule type="colorScale" priority="109">
      <colorScale>
        <cfvo type="min"/>
        <cfvo type="percentile" val="50"/>
        <cfvo type="max"/>
        <color rgb="FF63BE7B"/>
        <color rgb="FFFFEB84"/>
        <color rgb="FFF8696B"/>
      </colorScale>
    </cfRule>
  </conditionalFormatting>
  <conditionalFormatting sqref="Z50:Z58">
    <cfRule type="colorScale" priority="150">
      <colorScale>
        <cfvo type="min"/>
        <cfvo type="percentile" val="50"/>
        <cfvo type="max"/>
        <color rgb="FF63BE7B"/>
        <color rgb="FFFFEB84"/>
        <color rgb="FFF8696B"/>
      </colorScale>
    </cfRule>
  </conditionalFormatting>
  <conditionalFormatting sqref="Z60:Z68">
    <cfRule type="colorScale" priority="127">
      <colorScale>
        <cfvo type="min"/>
        <cfvo type="percentile" val="50"/>
        <cfvo type="max"/>
        <color rgb="FF63BE7B"/>
        <color rgb="FFFFEB84"/>
        <color rgb="FFF8696B"/>
      </colorScale>
    </cfRule>
  </conditionalFormatting>
  <conditionalFormatting sqref="Z69:Z73">
    <cfRule type="colorScale" priority="167">
      <colorScale>
        <cfvo type="min"/>
        <cfvo type="percentile" val="50"/>
        <cfvo type="max"/>
        <color rgb="FF63BE7B"/>
        <color rgb="FFFFEB84"/>
        <color rgb="FFF8696B"/>
      </colorScale>
    </cfRule>
  </conditionalFormatting>
  <conditionalFormatting sqref="AA11">
    <cfRule type="colorScale" priority="21">
      <colorScale>
        <cfvo type="min"/>
        <cfvo type="percentile" val="50"/>
        <cfvo type="max"/>
        <color rgb="FF63BE7B"/>
        <color rgb="FFFFEB84"/>
        <color rgb="FFF8696B"/>
      </colorScale>
    </cfRule>
  </conditionalFormatting>
  <conditionalFormatting sqref="AA12">
    <cfRule type="colorScale" priority="24">
      <colorScale>
        <cfvo type="min"/>
        <cfvo type="percentile" val="50"/>
        <cfvo type="max"/>
        <color rgb="FF63BE7B"/>
        <color rgb="FFFFEB84"/>
        <color rgb="FFF8696B"/>
      </colorScale>
    </cfRule>
  </conditionalFormatting>
  <conditionalFormatting sqref="AA13:AA19">
    <cfRule type="colorScale" priority="1">
      <colorScale>
        <cfvo type="min"/>
        <cfvo type="percentile" val="50"/>
        <cfvo type="max"/>
        <color rgb="FF63BE7B"/>
        <color rgb="FFFFEB84"/>
        <color rgb="FFF8696B"/>
      </colorScale>
    </cfRule>
    <cfRule type="colorScale" priority="18">
      <colorScale>
        <cfvo type="min"/>
        <cfvo type="percentile" val="50"/>
        <cfvo type="max"/>
        <color rgb="FF63BE7B"/>
        <color rgb="FFFFEB84"/>
        <color rgb="FFF8696B"/>
      </colorScale>
    </cfRule>
  </conditionalFormatting>
  <conditionalFormatting sqref="AA19:AA20">
    <cfRule type="colorScale" priority="9">
      <colorScale>
        <cfvo type="min"/>
        <cfvo type="percentile" val="50"/>
        <cfvo type="max"/>
        <color rgb="FF63BE7B"/>
        <color rgb="FFFFEB84"/>
        <color rgb="FFF8696B"/>
      </colorScale>
    </cfRule>
  </conditionalFormatting>
  <conditionalFormatting sqref="AA36:AA43">
    <cfRule type="colorScale" priority="77">
      <colorScale>
        <cfvo type="min"/>
        <cfvo type="percentile" val="50"/>
        <cfvo type="max"/>
        <color rgb="FF63BE7B"/>
        <color rgb="FFFFEB84"/>
        <color rgb="FFF8696B"/>
      </colorScale>
    </cfRule>
  </conditionalFormatting>
  <conditionalFormatting sqref="AA44">
    <cfRule type="colorScale" priority="82">
      <colorScale>
        <cfvo type="min"/>
        <cfvo type="percentile" val="50"/>
        <cfvo type="max"/>
        <color rgb="FF63BE7B"/>
        <color rgb="FFFFEB84"/>
        <color rgb="FFF8696B"/>
      </colorScale>
    </cfRule>
  </conditionalFormatting>
  <conditionalFormatting sqref="AA45:AA49">
    <cfRule type="colorScale" priority="108">
      <colorScale>
        <cfvo type="min"/>
        <cfvo type="percentile" val="50"/>
        <cfvo type="max"/>
        <color rgb="FF63BE7B"/>
        <color rgb="FFFFEB84"/>
        <color rgb="FFF8696B"/>
      </colorScale>
    </cfRule>
  </conditionalFormatting>
  <conditionalFormatting sqref="AA50:AA58">
    <cfRule type="colorScale" priority="151">
      <colorScale>
        <cfvo type="min"/>
        <cfvo type="percentile" val="50"/>
        <cfvo type="max"/>
        <color rgb="FF63BE7B"/>
        <color rgb="FFFFEB84"/>
        <color rgb="FFF8696B"/>
      </colorScale>
    </cfRule>
  </conditionalFormatting>
  <conditionalFormatting sqref="AA59:AA68">
    <cfRule type="colorScale" priority="126">
      <colorScale>
        <cfvo type="min"/>
        <cfvo type="percentile" val="50"/>
        <cfvo type="max"/>
        <color rgb="FF63BE7B"/>
        <color rgb="FFFFEB84"/>
        <color rgb="FFF8696B"/>
      </colorScale>
    </cfRule>
  </conditionalFormatting>
  <conditionalFormatting sqref="AA69:AA73">
    <cfRule type="colorScale" priority="168">
      <colorScale>
        <cfvo type="min"/>
        <cfvo type="percentile" val="50"/>
        <cfvo type="max"/>
        <color rgb="FF63BE7B"/>
        <color rgb="FFFFEB84"/>
        <color rgb="FFF8696B"/>
      </colorScale>
    </cfRule>
  </conditionalFormatting>
  <conditionalFormatting sqref="AB11:AB12 AC11">
    <cfRule type="colorScale" priority="23">
      <colorScale>
        <cfvo type="min"/>
        <cfvo type="percentile" val="50"/>
        <cfvo type="max"/>
        <color rgb="FF63BE7B"/>
        <color rgb="FFFFEB84"/>
        <color rgb="FFF8696B"/>
      </colorScale>
    </cfRule>
  </conditionalFormatting>
  <conditionalFormatting sqref="AB13:AB19">
    <cfRule type="colorScale" priority="20">
      <colorScale>
        <cfvo type="min"/>
        <cfvo type="percentile" val="50"/>
        <cfvo type="max"/>
        <color rgb="FF63BE7B"/>
        <color rgb="FFFFEB84"/>
        <color rgb="FFF8696B"/>
      </colorScale>
    </cfRule>
  </conditionalFormatting>
  <conditionalFormatting sqref="AB19:AB20">
    <cfRule type="colorScale" priority="11">
      <colorScale>
        <cfvo type="min"/>
        <cfvo type="percentile" val="50"/>
        <cfvo type="max"/>
        <color rgb="FF63BE7B"/>
        <color rgb="FFFFEB84"/>
        <color rgb="FFF8696B"/>
      </colorScale>
    </cfRule>
  </conditionalFormatting>
  <conditionalFormatting sqref="AB36:AB43">
    <cfRule type="colorScale" priority="78">
      <colorScale>
        <cfvo type="min"/>
        <cfvo type="percentile" val="50"/>
        <cfvo type="max"/>
        <color rgb="FF63BE7B"/>
        <color rgb="FFFFEB84"/>
        <color rgb="FFF8696B"/>
      </colorScale>
    </cfRule>
  </conditionalFormatting>
  <conditionalFormatting sqref="AB44">
    <cfRule type="colorScale" priority="81">
      <colorScale>
        <cfvo type="min"/>
        <cfvo type="percentile" val="50"/>
        <cfvo type="max"/>
        <color rgb="FF63BE7B"/>
        <color rgb="FFFFEB84"/>
        <color rgb="FFF8696B"/>
      </colorScale>
    </cfRule>
  </conditionalFormatting>
  <conditionalFormatting sqref="AB45:AB49">
    <cfRule type="colorScale" priority="107">
      <colorScale>
        <cfvo type="min"/>
        <cfvo type="percentile" val="50"/>
        <cfvo type="max"/>
        <color rgb="FF63BE7B"/>
        <color rgb="FFFFEB84"/>
        <color rgb="FFF8696B"/>
      </colorScale>
    </cfRule>
  </conditionalFormatting>
  <conditionalFormatting sqref="AB50:AB56">
    <cfRule type="colorScale" priority="139">
      <colorScale>
        <cfvo type="min"/>
        <cfvo type="percentile" val="50"/>
        <cfvo type="max"/>
        <color rgb="FF63BE7B"/>
        <color rgb="FFFFEB84"/>
        <color rgb="FFF8696B"/>
      </colorScale>
    </cfRule>
  </conditionalFormatting>
  <conditionalFormatting sqref="AB57:AB58">
    <cfRule type="colorScale" priority="154">
      <colorScale>
        <cfvo type="min"/>
        <cfvo type="percentile" val="50"/>
        <cfvo type="max"/>
        <color rgb="FF63BE7B"/>
        <color rgb="FFFFEB84"/>
        <color rgb="FFF8696B"/>
      </colorScale>
    </cfRule>
  </conditionalFormatting>
  <conditionalFormatting sqref="AB59:AB68">
    <cfRule type="colorScale" priority="125">
      <colorScale>
        <cfvo type="min"/>
        <cfvo type="percentile" val="50"/>
        <cfvo type="max"/>
        <color rgb="FF63BE7B"/>
        <color rgb="FFFFEB84"/>
        <color rgb="FFF8696B"/>
      </colorScale>
    </cfRule>
  </conditionalFormatting>
  <conditionalFormatting sqref="AB69:AB73">
    <cfRule type="colorScale" priority="169">
      <colorScale>
        <cfvo type="min"/>
        <cfvo type="percentile" val="50"/>
        <cfvo type="max"/>
        <color rgb="FF63BE7B"/>
        <color rgb="FFFFEB84"/>
        <color rgb="FFF8696B"/>
      </colorScale>
    </cfRule>
  </conditionalFormatting>
  <conditionalFormatting sqref="AB13:AC19">
    <cfRule type="colorScale" priority="3">
      <colorScale>
        <cfvo type="min"/>
        <cfvo type="percentile" val="50"/>
        <cfvo type="max"/>
        <color rgb="FF63BE7B"/>
        <color rgb="FFFFEB84"/>
        <color rgb="FFF8696B"/>
      </colorScale>
    </cfRule>
    <cfRule type="colorScale" priority="31">
      <colorScale>
        <cfvo type="min"/>
        <cfvo type="percentile" val="50"/>
        <cfvo type="max"/>
        <color rgb="FF63BE7B"/>
        <color rgb="FFFFEB84"/>
        <color rgb="FFF8696B"/>
      </colorScale>
    </cfRule>
  </conditionalFormatting>
  <conditionalFormatting sqref="AB19:AC20">
    <cfRule type="colorScale" priority="17">
      <colorScale>
        <cfvo type="min"/>
        <cfvo type="percentile" val="50"/>
        <cfvo type="max"/>
        <color rgb="FF63BE7B"/>
        <color rgb="FFFFEB84"/>
        <color rgb="FFF8696B"/>
      </colorScale>
    </cfRule>
  </conditionalFormatting>
  <conditionalFormatting sqref="AC11:AC12">
    <cfRule type="colorScale" priority="22">
      <colorScale>
        <cfvo type="min"/>
        <cfvo type="percentile" val="50"/>
        <cfvo type="max"/>
        <color rgb="FF63BE7B"/>
        <color rgb="FFFFEB84"/>
        <color rgb="FFF8696B"/>
      </colorScale>
    </cfRule>
  </conditionalFormatting>
  <conditionalFormatting sqref="AC13:AC19">
    <cfRule type="colorScale" priority="19">
      <colorScale>
        <cfvo type="min"/>
        <cfvo type="percentile" val="50"/>
        <cfvo type="max"/>
        <color rgb="FF63BE7B"/>
        <color rgb="FFFFEB84"/>
        <color rgb="FFF8696B"/>
      </colorScale>
    </cfRule>
    <cfRule type="colorScale" priority="2">
      <colorScale>
        <cfvo type="min"/>
        <cfvo type="percentile" val="50"/>
        <cfvo type="max"/>
        <color rgb="FF63BE7B"/>
        <color rgb="FFFFEB84"/>
        <color rgb="FFF8696B"/>
      </colorScale>
    </cfRule>
  </conditionalFormatting>
  <conditionalFormatting sqref="AC19:AC20">
    <cfRule type="colorScale" priority="10">
      <colorScale>
        <cfvo type="min"/>
        <cfvo type="percentile" val="50"/>
        <cfvo type="max"/>
        <color rgb="FF63BE7B"/>
        <color rgb="FFFFEB84"/>
        <color rgb="FFF8696B"/>
      </colorScale>
    </cfRule>
  </conditionalFormatting>
  <conditionalFormatting sqref="AC36:AC43">
    <cfRule type="colorScale" priority="79">
      <colorScale>
        <cfvo type="min"/>
        <cfvo type="percentile" val="50"/>
        <cfvo type="max"/>
        <color rgb="FF63BE7B"/>
        <color rgb="FFFFEB84"/>
        <color rgb="FFF8696B"/>
      </colorScale>
    </cfRule>
  </conditionalFormatting>
  <conditionalFormatting sqref="AC44">
    <cfRule type="colorScale" priority="80">
      <colorScale>
        <cfvo type="min"/>
        <cfvo type="percentile" val="50"/>
        <cfvo type="max"/>
        <color rgb="FF63BE7B"/>
        <color rgb="FFFFEB84"/>
        <color rgb="FFF8696B"/>
      </colorScale>
    </cfRule>
  </conditionalFormatting>
  <conditionalFormatting sqref="AC45:AC49">
    <cfRule type="colorScale" priority="106">
      <colorScale>
        <cfvo type="min"/>
        <cfvo type="percentile" val="50"/>
        <cfvo type="max"/>
        <color rgb="FF63BE7B"/>
        <color rgb="FFFFEB84"/>
        <color rgb="FFF8696B"/>
      </colorScale>
    </cfRule>
  </conditionalFormatting>
  <conditionalFormatting sqref="AC50:AC56">
    <cfRule type="colorScale" priority="138">
      <colorScale>
        <cfvo type="min"/>
        <cfvo type="percentile" val="50"/>
        <cfvo type="max"/>
        <color rgb="FF63BE7B"/>
        <color rgb="FFFFEB84"/>
        <color rgb="FFF8696B"/>
      </colorScale>
    </cfRule>
  </conditionalFormatting>
  <conditionalFormatting sqref="AC57:AC58">
    <cfRule type="colorScale" priority="152">
      <colorScale>
        <cfvo type="min"/>
        <cfvo type="percentile" val="50"/>
        <cfvo type="max"/>
        <color rgb="FF63BE7B"/>
        <color rgb="FFFFEB84"/>
        <color rgb="FFF8696B"/>
      </colorScale>
    </cfRule>
  </conditionalFormatting>
  <conditionalFormatting sqref="AC59:AC68">
    <cfRule type="colorScale" priority="124">
      <colorScale>
        <cfvo type="min"/>
        <cfvo type="percentile" val="50"/>
        <cfvo type="max"/>
        <color rgb="FF63BE7B"/>
        <color rgb="FFFFEB84"/>
        <color rgb="FFF8696B"/>
      </colorScale>
    </cfRule>
  </conditionalFormatting>
  <conditionalFormatting sqref="AC69:AC73">
    <cfRule type="colorScale" priority="170">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41E4A-C0F6-4A81-9CB3-F402C7180498}">
  <dimension ref="A31:U65"/>
  <sheetViews>
    <sheetView topLeftCell="A29" workbookViewId="0">
      <selection activeCell="L70" sqref="L70"/>
    </sheetView>
  </sheetViews>
  <sheetFormatPr baseColWidth="10" defaultColWidth="8.83203125" defaultRowHeight="15" x14ac:dyDescent="0.2"/>
  <cols>
    <col min="1" max="1" width="34.6640625" customWidth="1"/>
    <col min="2" max="2" width="10.6640625" customWidth="1"/>
    <col min="4" max="4" width="10.6640625" customWidth="1"/>
  </cols>
  <sheetData>
    <row r="31" spans="1:21" x14ac:dyDescent="0.2">
      <c r="A31" s="459" t="s">
        <v>104</v>
      </c>
      <c r="B31" s="460"/>
      <c r="C31" s="460"/>
      <c r="D31" s="460"/>
      <c r="E31" s="460"/>
      <c r="F31" s="460"/>
      <c r="G31" s="3"/>
      <c r="H31" s="3"/>
      <c r="I31" s="3"/>
      <c r="J31" s="4"/>
      <c r="O31" s="150" t="s">
        <v>169</v>
      </c>
      <c r="P31" s="3" t="s">
        <v>0</v>
      </c>
      <c r="Q31" s="3"/>
      <c r="R31" s="3"/>
      <c r="S31" s="3"/>
      <c r="T31" s="3"/>
      <c r="U31" s="4"/>
    </row>
    <row r="32" spans="1:21" x14ac:dyDescent="0.2">
      <c r="A32" s="5"/>
      <c r="B32" s="461" t="s">
        <v>56</v>
      </c>
      <c r="C32" s="461"/>
      <c r="D32" s="461"/>
      <c r="J32" s="6"/>
      <c r="O32" s="5"/>
      <c r="P32">
        <v>2023</v>
      </c>
      <c r="Q32">
        <v>2022</v>
      </c>
      <c r="R32">
        <v>2021</v>
      </c>
      <c r="S32">
        <v>2020</v>
      </c>
      <c r="T32">
        <v>2019</v>
      </c>
      <c r="U32" s="6">
        <v>2018</v>
      </c>
    </row>
    <row r="33" spans="1:21" x14ac:dyDescent="0.2">
      <c r="A33" s="5"/>
      <c r="B33" s="11">
        <v>2023</v>
      </c>
      <c r="D33" s="11">
        <v>2022</v>
      </c>
      <c r="F33" s="11">
        <v>2021</v>
      </c>
      <c r="H33" s="11">
        <v>2020</v>
      </c>
      <c r="J33" s="145">
        <v>2019</v>
      </c>
      <c r="O33" s="5" t="s">
        <v>1</v>
      </c>
      <c r="P33">
        <v>3</v>
      </c>
      <c r="Q33">
        <v>2.8</v>
      </c>
      <c r="R33">
        <v>2.5</v>
      </c>
      <c r="S33">
        <v>2.2000000000000002</v>
      </c>
      <c r="T33">
        <v>2.2000000000000002</v>
      </c>
      <c r="U33" s="6">
        <v>2</v>
      </c>
    </row>
    <row r="34" spans="1:21" x14ac:dyDescent="0.2">
      <c r="A34" s="5" t="s">
        <v>103</v>
      </c>
      <c r="B34" s="10">
        <v>3187</v>
      </c>
      <c r="D34" s="10">
        <v>2966</v>
      </c>
      <c r="F34" s="10">
        <v>2768</v>
      </c>
      <c r="H34" s="10">
        <v>2622</v>
      </c>
      <c r="J34" s="146">
        <v>2491</v>
      </c>
      <c r="O34" s="5" t="s">
        <v>3</v>
      </c>
      <c r="P34" s="75">
        <f>P33/Q33-1</f>
        <v>7.1428571428571397E-2</v>
      </c>
      <c r="Q34" s="75">
        <f>Q33/R33-1</f>
        <v>0.11999999999999988</v>
      </c>
      <c r="R34" s="75">
        <f>R33/S33-1</f>
        <v>0.13636363636363624</v>
      </c>
      <c r="S34" s="75">
        <f>S33/T33-1</f>
        <v>0</v>
      </c>
      <c r="T34" s="75">
        <f>T33/U33-1</f>
        <v>0.10000000000000009</v>
      </c>
      <c r="U34" s="76"/>
    </row>
    <row r="35" spans="1:21" x14ac:dyDescent="0.2">
      <c r="A35" s="5" t="s">
        <v>102</v>
      </c>
      <c r="B35" s="10">
        <v>270</v>
      </c>
      <c r="D35" s="10">
        <v>235</v>
      </c>
      <c r="F35" s="10">
        <v>215</v>
      </c>
      <c r="H35" s="10">
        <v>160</v>
      </c>
      <c r="J35" s="146">
        <v>139</v>
      </c>
      <c r="O35" s="77" t="s">
        <v>30</v>
      </c>
      <c r="P35" s="78">
        <v>0.26500000000000001</v>
      </c>
      <c r="Q35" s="78">
        <v>0.23899999999999999</v>
      </c>
      <c r="R35" s="78" t="s">
        <v>2</v>
      </c>
      <c r="S35" s="79">
        <v>0.22</v>
      </c>
      <c r="T35" s="8"/>
      <c r="U35" s="9"/>
    </row>
    <row r="36" spans="1:21" x14ac:dyDescent="0.2">
      <c r="A36" s="5" t="s">
        <v>101</v>
      </c>
      <c r="B36" s="10">
        <v>1</v>
      </c>
      <c r="D36" s="10">
        <v>1</v>
      </c>
      <c r="F36" t="s">
        <v>71</v>
      </c>
      <c r="H36" s="10">
        <v>1</v>
      </c>
      <c r="J36" s="146">
        <v>1</v>
      </c>
    </row>
    <row r="37" spans="1:21" x14ac:dyDescent="0.2">
      <c r="A37" s="5" t="s">
        <v>100</v>
      </c>
      <c r="B37" s="147">
        <v>-3</v>
      </c>
      <c r="D37" s="147">
        <v>-3</v>
      </c>
      <c r="F37" s="147">
        <v>-10</v>
      </c>
      <c r="H37" s="147">
        <v>-9</v>
      </c>
      <c r="J37" s="148">
        <v>-7</v>
      </c>
      <c r="O37" s="111" t="s">
        <v>170</v>
      </c>
      <c r="P37" s="3" t="s">
        <v>0</v>
      </c>
      <c r="Q37" s="3"/>
      <c r="R37" s="3"/>
      <c r="S37" s="3"/>
      <c r="T37" s="3"/>
      <c r="U37" s="4"/>
    </row>
    <row r="38" spans="1:21" x14ac:dyDescent="0.2">
      <c r="A38" s="5" t="s">
        <v>99</v>
      </c>
      <c r="B38" s="147">
        <v>-12</v>
      </c>
      <c r="D38" s="147">
        <v>-12</v>
      </c>
      <c r="F38" s="147">
        <v>-7</v>
      </c>
      <c r="H38" s="147">
        <v>-6</v>
      </c>
      <c r="J38" s="148">
        <v>-2</v>
      </c>
      <c r="O38" s="5"/>
      <c r="P38">
        <v>2023</v>
      </c>
      <c r="Q38">
        <v>2022</v>
      </c>
      <c r="R38">
        <v>2021</v>
      </c>
      <c r="S38">
        <v>2020</v>
      </c>
      <c r="T38">
        <v>2019</v>
      </c>
      <c r="U38" s="6"/>
    </row>
    <row r="39" spans="1:21" x14ac:dyDescent="0.2">
      <c r="A39" s="5" t="s">
        <v>98</v>
      </c>
      <c r="B39" s="147">
        <v>-6</v>
      </c>
      <c r="D39" t="s">
        <v>71</v>
      </c>
      <c r="J39" s="6" t="s">
        <v>71</v>
      </c>
      <c r="O39" s="5" t="s">
        <v>1</v>
      </c>
      <c r="P39">
        <f>MOD!AC10/'CMG restaurant activity'!B40/1000</f>
        <v>2.8721702065755021</v>
      </c>
      <c r="Q39">
        <f>MOD!X10/'CMG restaurant activity'!D40/1000</f>
        <v>2.7093354251647317</v>
      </c>
      <c r="R39">
        <f>MOD!S10/'CMG restaurant activity'!F40/1000</f>
        <v>2.5445249494268372</v>
      </c>
      <c r="S39">
        <f>MOD!N10/'CMG restaurant activity'!H40/1000</f>
        <v>2.1620787572254336</v>
      </c>
      <c r="T39">
        <f>MOD!I10/'CMG restaurant activity'!J40/1000</f>
        <v>2.1305755148741419</v>
      </c>
      <c r="U39" s="6"/>
    </row>
    <row r="40" spans="1:21" x14ac:dyDescent="0.2">
      <c r="A40" s="149" t="s">
        <v>97</v>
      </c>
      <c r="B40" s="10">
        <v>3437</v>
      </c>
      <c r="D40" s="10">
        <v>3187</v>
      </c>
      <c r="F40" s="10">
        <v>2966</v>
      </c>
      <c r="H40" s="10">
        <v>2768</v>
      </c>
      <c r="J40" s="146">
        <v>2622</v>
      </c>
      <c r="O40" s="5" t="s">
        <v>3</v>
      </c>
      <c r="P40" s="75">
        <f>P39/Q39-1</f>
        <v>6.0101373900896649E-2</v>
      </c>
      <c r="Q40" s="75">
        <f>Q39/R39-1</f>
        <v>6.4770626743124948E-2</v>
      </c>
      <c r="R40" s="75">
        <f>R39/S39-1</f>
        <v>0.17688818731663214</v>
      </c>
      <c r="S40" s="75">
        <f>S39/T39-1</f>
        <v>1.4786259454949491E-2</v>
      </c>
      <c r="T40" s="75"/>
      <c r="U40" s="76"/>
    </row>
    <row r="41" spans="1:21" x14ac:dyDescent="0.2">
      <c r="A41" s="149" t="s">
        <v>220</v>
      </c>
      <c r="B41" s="10">
        <f>B40-D40</f>
        <v>250</v>
      </c>
      <c r="D41" s="10">
        <f>D40-F40</f>
        <v>221</v>
      </c>
      <c r="F41" s="10">
        <f>F40-H40</f>
        <v>198</v>
      </c>
      <c r="H41" s="10">
        <f>H40-J40</f>
        <v>146</v>
      </c>
      <c r="J41" s="146"/>
      <c r="O41" s="77" t="s">
        <v>30</v>
      </c>
      <c r="P41" s="78">
        <f>MOD!AC38</f>
        <v>0.2296169565996522</v>
      </c>
      <c r="Q41" s="78">
        <f>MOD!X38</f>
        <v>0.20560099005727156</v>
      </c>
      <c r="R41" s="78">
        <f>MOD!S38</f>
        <v>0.19243941449525848</v>
      </c>
      <c r="S41" s="79">
        <f>MOD!N38</f>
        <v>0.13410126667729388</v>
      </c>
      <c r="T41" s="151">
        <f>MOD!I38</f>
        <v>0.16642509651618073</v>
      </c>
      <c r="U41" s="9"/>
    </row>
    <row r="42" spans="1:21" x14ac:dyDescent="0.2">
      <c r="A42" s="7" t="s">
        <v>109</v>
      </c>
      <c r="B42" s="144">
        <f>B40/D40-1</f>
        <v>7.8443677439598458E-2</v>
      </c>
      <c r="C42" s="8"/>
      <c r="D42" s="144">
        <f>D40/F40-1</f>
        <v>7.4511126095751834E-2</v>
      </c>
      <c r="E42" s="8"/>
      <c r="F42" s="144">
        <f>F40/H40-1</f>
        <v>7.1531791907514464E-2</v>
      </c>
      <c r="G42" s="8"/>
      <c r="H42" s="144">
        <f>H40/J40-1</f>
        <v>5.5682684973302754E-2</v>
      </c>
      <c r="I42" s="8"/>
      <c r="J42" s="9"/>
    </row>
    <row r="45" spans="1:21" x14ac:dyDescent="0.2">
      <c r="A45" s="2"/>
      <c r="B45" s="3" t="s">
        <v>4</v>
      </c>
      <c r="C45" s="2" t="s">
        <v>8</v>
      </c>
      <c r="D45" s="3" t="s">
        <v>9</v>
      </c>
      <c r="E45" s="3" t="s">
        <v>10</v>
      </c>
      <c r="F45" s="4" t="s">
        <v>11</v>
      </c>
      <c r="G45" s="2" t="s">
        <v>13</v>
      </c>
      <c r="H45" s="3" t="s">
        <v>14</v>
      </c>
      <c r="I45" s="3" t="s">
        <v>15</v>
      </c>
      <c r="J45" s="4" t="s">
        <v>16</v>
      </c>
      <c r="K45" s="2" t="s">
        <v>17</v>
      </c>
      <c r="L45" s="3" t="s">
        <v>18</v>
      </c>
      <c r="M45" s="3" t="s">
        <v>19</v>
      </c>
      <c r="N45" s="4" t="s">
        <v>20</v>
      </c>
      <c r="O45" s="4" t="s">
        <v>24</v>
      </c>
    </row>
    <row r="46" spans="1:21" x14ac:dyDescent="0.2">
      <c r="A46" s="5" t="s">
        <v>5</v>
      </c>
      <c r="B46">
        <v>3411</v>
      </c>
      <c r="C46" s="5">
        <v>3371</v>
      </c>
      <c r="D46">
        <v>3260</v>
      </c>
      <c r="E46">
        <v>3205</v>
      </c>
      <c r="F46" s="6">
        <v>3164</v>
      </c>
      <c r="G46" s="5">
        <v>3129</v>
      </c>
      <c r="H46">
        <v>3036</v>
      </c>
      <c r="I46">
        <v>2999</v>
      </c>
      <c r="J46" s="6">
        <v>2964</v>
      </c>
      <c r="K46" s="5">
        <v>2918</v>
      </c>
      <c r="L46">
        <v>2846</v>
      </c>
      <c r="M46">
        <v>2808</v>
      </c>
      <c r="N46" s="6">
        <v>2759</v>
      </c>
      <c r="O46" s="6">
        <v>2724</v>
      </c>
    </row>
    <row r="47" spans="1:21" x14ac:dyDescent="0.2">
      <c r="A47" s="5" t="s">
        <v>7</v>
      </c>
      <c r="B47">
        <v>68</v>
      </c>
      <c r="C47" s="5">
        <v>66</v>
      </c>
      <c r="D47">
        <v>61</v>
      </c>
      <c r="E47">
        <v>57</v>
      </c>
      <c r="F47" s="6">
        <v>54</v>
      </c>
      <c r="G47" s="5">
        <v>53</v>
      </c>
      <c r="H47">
        <v>50</v>
      </c>
      <c r="I47">
        <v>49</v>
      </c>
      <c r="J47" s="6">
        <v>46</v>
      </c>
      <c r="K47" s="5">
        <v>44</v>
      </c>
      <c r="L47">
        <v>42</v>
      </c>
      <c r="M47">
        <v>41</v>
      </c>
      <c r="N47" s="6">
        <v>40</v>
      </c>
      <c r="O47" s="6">
        <v>40</v>
      </c>
    </row>
    <row r="48" spans="1:21" x14ac:dyDescent="0.2">
      <c r="A48" s="7" t="s">
        <v>6</v>
      </c>
      <c r="B48" s="8">
        <f t="shared" ref="B48:J48" si="0">B46+B47</f>
        <v>3479</v>
      </c>
      <c r="C48" s="7">
        <f t="shared" si="0"/>
        <v>3437</v>
      </c>
      <c r="D48" s="8">
        <f t="shared" si="0"/>
        <v>3321</v>
      </c>
      <c r="E48" s="8">
        <f t="shared" si="0"/>
        <v>3262</v>
      </c>
      <c r="F48" s="9">
        <f t="shared" si="0"/>
        <v>3218</v>
      </c>
      <c r="G48" s="7">
        <f t="shared" si="0"/>
        <v>3182</v>
      </c>
      <c r="H48" s="8">
        <f t="shared" si="0"/>
        <v>3086</v>
      </c>
      <c r="I48" s="8">
        <f t="shared" si="0"/>
        <v>3048</v>
      </c>
      <c r="J48" s="9">
        <f t="shared" si="0"/>
        <v>3010</v>
      </c>
      <c r="K48" s="7">
        <f t="shared" ref="K48:O48" si="1">K46+K47</f>
        <v>2962</v>
      </c>
      <c r="L48" s="8">
        <f t="shared" si="1"/>
        <v>2888</v>
      </c>
      <c r="M48" s="8">
        <f t="shared" si="1"/>
        <v>2849</v>
      </c>
      <c r="N48" s="9">
        <f t="shared" si="1"/>
        <v>2799</v>
      </c>
      <c r="O48" s="9">
        <f t="shared" si="1"/>
        <v>2764</v>
      </c>
    </row>
    <row r="49" spans="1:14" x14ac:dyDescent="0.2">
      <c r="D49" t="s">
        <v>12</v>
      </c>
    </row>
    <row r="50" spans="1:14" x14ac:dyDescent="0.2">
      <c r="A50" s="2"/>
      <c r="B50" s="3" t="s">
        <v>4</v>
      </c>
      <c r="C50" s="3" t="s">
        <v>8</v>
      </c>
      <c r="D50" s="3" t="s">
        <v>9</v>
      </c>
      <c r="E50" s="3" t="s">
        <v>10</v>
      </c>
      <c r="F50" s="3" t="s">
        <v>11</v>
      </c>
      <c r="G50" s="3" t="s">
        <v>13</v>
      </c>
      <c r="H50" s="3" t="s">
        <v>14</v>
      </c>
      <c r="I50" s="3" t="s">
        <v>15</v>
      </c>
      <c r="J50" s="3" t="s">
        <v>16</v>
      </c>
      <c r="K50" s="3" t="s">
        <v>17</v>
      </c>
      <c r="L50" s="3" t="s">
        <v>18</v>
      </c>
      <c r="M50" s="3" t="s">
        <v>19</v>
      </c>
      <c r="N50" s="4" t="s">
        <v>20</v>
      </c>
    </row>
    <row r="51" spans="1:14" x14ac:dyDescent="0.2">
      <c r="A51" s="5" t="s">
        <v>21</v>
      </c>
      <c r="B51">
        <f t="shared" ref="B51:N51" si="2">B46-C46</f>
        <v>40</v>
      </c>
      <c r="C51">
        <f t="shared" si="2"/>
        <v>111</v>
      </c>
      <c r="D51">
        <f t="shared" si="2"/>
        <v>55</v>
      </c>
      <c r="E51">
        <f t="shared" si="2"/>
        <v>41</v>
      </c>
      <c r="F51">
        <f t="shared" si="2"/>
        <v>35</v>
      </c>
      <c r="G51">
        <f t="shared" si="2"/>
        <v>93</v>
      </c>
      <c r="H51">
        <f t="shared" si="2"/>
        <v>37</v>
      </c>
      <c r="I51">
        <f t="shared" si="2"/>
        <v>35</v>
      </c>
      <c r="J51">
        <f t="shared" si="2"/>
        <v>46</v>
      </c>
      <c r="K51">
        <f t="shared" si="2"/>
        <v>72</v>
      </c>
      <c r="L51">
        <f t="shared" si="2"/>
        <v>38</v>
      </c>
      <c r="M51">
        <f t="shared" si="2"/>
        <v>49</v>
      </c>
      <c r="N51" s="6">
        <f t="shared" si="2"/>
        <v>35</v>
      </c>
    </row>
    <row r="52" spans="1:14" x14ac:dyDescent="0.2">
      <c r="A52" s="5" t="s">
        <v>22</v>
      </c>
      <c r="B52">
        <f t="shared" ref="B52:N52" si="3">B47-C47</f>
        <v>2</v>
      </c>
      <c r="C52">
        <f t="shared" si="3"/>
        <v>5</v>
      </c>
      <c r="D52">
        <f t="shared" si="3"/>
        <v>4</v>
      </c>
      <c r="E52">
        <f t="shared" si="3"/>
        <v>3</v>
      </c>
      <c r="F52">
        <f t="shared" si="3"/>
        <v>1</v>
      </c>
      <c r="G52">
        <f t="shared" si="3"/>
        <v>3</v>
      </c>
      <c r="H52">
        <f t="shared" si="3"/>
        <v>1</v>
      </c>
      <c r="I52">
        <f t="shared" si="3"/>
        <v>3</v>
      </c>
      <c r="J52">
        <f t="shared" si="3"/>
        <v>2</v>
      </c>
      <c r="K52">
        <f t="shared" si="3"/>
        <v>2</v>
      </c>
      <c r="L52">
        <f t="shared" si="3"/>
        <v>1</v>
      </c>
      <c r="M52">
        <f t="shared" si="3"/>
        <v>1</v>
      </c>
      <c r="N52" s="6">
        <f t="shared" si="3"/>
        <v>0</v>
      </c>
    </row>
    <row r="53" spans="1:14" x14ac:dyDescent="0.2">
      <c r="A53" s="5" t="s">
        <v>23</v>
      </c>
      <c r="B53">
        <f t="shared" ref="B53:N53" si="4">B48-C48</f>
        <v>42</v>
      </c>
      <c r="C53" s="182">
        <f t="shared" si="4"/>
        <v>116</v>
      </c>
      <c r="D53">
        <f t="shared" si="4"/>
        <v>59</v>
      </c>
      <c r="E53">
        <f t="shared" si="4"/>
        <v>44</v>
      </c>
      <c r="F53">
        <f t="shared" si="4"/>
        <v>36</v>
      </c>
      <c r="G53" s="182">
        <f t="shared" si="4"/>
        <v>96</v>
      </c>
      <c r="H53">
        <f t="shared" si="4"/>
        <v>38</v>
      </c>
      <c r="I53">
        <f t="shared" si="4"/>
        <v>38</v>
      </c>
      <c r="J53">
        <f t="shared" si="4"/>
        <v>48</v>
      </c>
      <c r="K53" s="182">
        <f t="shared" si="4"/>
        <v>74</v>
      </c>
      <c r="L53">
        <f t="shared" si="4"/>
        <v>39</v>
      </c>
      <c r="M53">
        <f t="shared" si="4"/>
        <v>50</v>
      </c>
      <c r="N53" s="6">
        <f t="shared" si="4"/>
        <v>35</v>
      </c>
    </row>
    <row r="54" spans="1:14" x14ac:dyDescent="0.2">
      <c r="A54" s="7"/>
      <c r="B54" s="185">
        <f>B53/B63</f>
        <v>0.14736842105263157</v>
      </c>
      <c r="C54" s="183">
        <f>C53/$B$41</f>
        <v>0.46400000000000002</v>
      </c>
      <c r="D54" s="183">
        <f t="shared" ref="D54:F54" si="5">D53/$B$41</f>
        <v>0.23599999999999999</v>
      </c>
      <c r="E54" s="183">
        <f t="shared" si="5"/>
        <v>0.17599999999999999</v>
      </c>
      <c r="F54" s="183">
        <f t="shared" si="5"/>
        <v>0.14399999999999999</v>
      </c>
      <c r="G54" s="183">
        <f>G53/$D$41</f>
        <v>0.43438914027149322</v>
      </c>
      <c r="H54" s="183">
        <f t="shared" ref="H54:J54" si="6">H53/$D$41</f>
        <v>0.17194570135746606</v>
      </c>
      <c r="I54" s="183">
        <f t="shared" si="6"/>
        <v>0.17194570135746606</v>
      </c>
      <c r="J54" s="183">
        <f t="shared" si="6"/>
        <v>0.21719457013574661</v>
      </c>
      <c r="K54" s="184">
        <f>K53/$F$41</f>
        <v>0.37373737373737376</v>
      </c>
      <c r="L54" s="184">
        <f t="shared" ref="L54:N54" si="7">L53/$F$41</f>
        <v>0.19696969696969696</v>
      </c>
      <c r="M54" s="184">
        <f t="shared" si="7"/>
        <v>0.25252525252525254</v>
      </c>
      <c r="N54" s="186">
        <f t="shared" si="7"/>
        <v>0.17676767676767677</v>
      </c>
    </row>
    <row r="55" spans="1:14" x14ac:dyDescent="0.2">
      <c r="C55" s="181" t="s">
        <v>216</v>
      </c>
      <c r="D55" s="181"/>
      <c r="E55" s="181"/>
      <c r="F55" s="181"/>
      <c r="G55" s="181"/>
    </row>
    <row r="57" spans="1:14" x14ac:dyDescent="0.2">
      <c r="A57" s="2" t="s">
        <v>27</v>
      </c>
      <c r="B57" s="142">
        <f t="shared" ref="B57:N57" si="8">B46/C46-1</f>
        <v>1.1865915158706608E-2</v>
      </c>
      <c r="C57" s="142">
        <f t="shared" si="8"/>
        <v>3.4049079754601141E-2</v>
      </c>
      <c r="D57" s="142">
        <f t="shared" si="8"/>
        <v>1.7160686427457161E-2</v>
      </c>
      <c r="E57" s="142">
        <f t="shared" si="8"/>
        <v>1.2958280657395793E-2</v>
      </c>
      <c r="F57" s="142">
        <f t="shared" si="8"/>
        <v>1.1185682326621871E-2</v>
      </c>
      <c r="G57" s="142">
        <f t="shared" si="8"/>
        <v>3.063241106719361E-2</v>
      </c>
      <c r="H57" s="142">
        <f t="shared" si="8"/>
        <v>1.2337445815271852E-2</v>
      </c>
      <c r="I57" s="142">
        <f t="shared" si="8"/>
        <v>1.1808367071524994E-2</v>
      </c>
      <c r="J57" s="142">
        <f t="shared" si="8"/>
        <v>1.5764222069910794E-2</v>
      </c>
      <c r="K57" s="142">
        <f t="shared" si="8"/>
        <v>2.5298664792691605E-2</v>
      </c>
      <c r="L57" s="142">
        <f t="shared" si="8"/>
        <v>1.3532763532763559E-2</v>
      </c>
      <c r="M57" s="142">
        <f t="shared" si="8"/>
        <v>1.7760057992026068E-2</v>
      </c>
      <c r="N57" s="143">
        <f t="shared" si="8"/>
        <v>1.2848751835536021E-2</v>
      </c>
    </row>
    <row r="58" spans="1:14" x14ac:dyDescent="0.2">
      <c r="A58" s="5" t="s">
        <v>28</v>
      </c>
      <c r="B58" s="75">
        <f t="shared" ref="B58:N58" si="9">B47/C47-1</f>
        <v>3.0303030303030276E-2</v>
      </c>
      <c r="C58" s="75">
        <f t="shared" si="9"/>
        <v>8.1967213114754189E-2</v>
      </c>
      <c r="D58" s="75">
        <f t="shared" si="9"/>
        <v>7.0175438596491224E-2</v>
      </c>
      <c r="E58" s="75">
        <f t="shared" si="9"/>
        <v>5.555555555555558E-2</v>
      </c>
      <c r="F58" s="75">
        <f t="shared" si="9"/>
        <v>1.8867924528301883E-2</v>
      </c>
      <c r="G58" s="75">
        <f t="shared" si="9"/>
        <v>6.0000000000000053E-2</v>
      </c>
      <c r="H58" s="75">
        <f t="shared" si="9"/>
        <v>2.0408163265306145E-2</v>
      </c>
      <c r="I58" s="75">
        <f t="shared" si="9"/>
        <v>6.5217391304347894E-2</v>
      </c>
      <c r="J58" s="75">
        <f t="shared" si="9"/>
        <v>4.5454545454545414E-2</v>
      </c>
      <c r="K58" s="75">
        <f t="shared" si="9"/>
        <v>4.7619047619047672E-2</v>
      </c>
      <c r="L58" s="75">
        <f t="shared" si="9"/>
        <v>2.4390243902439046E-2</v>
      </c>
      <c r="M58" s="75">
        <f t="shared" si="9"/>
        <v>2.4999999999999911E-2</v>
      </c>
      <c r="N58" s="76">
        <f t="shared" si="9"/>
        <v>0</v>
      </c>
    </row>
    <row r="59" spans="1:14" x14ac:dyDescent="0.2">
      <c r="A59" s="5" t="s">
        <v>26</v>
      </c>
      <c r="B59" s="75">
        <f t="shared" ref="B59:N59" si="10">B48/C48-1</f>
        <v>1.2219959266802416E-2</v>
      </c>
      <c r="C59" s="75">
        <f t="shared" si="10"/>
        <v>3.4929238181270694E-2</v>
      </c>
      <c r="D59" s="75">
        <f t="shared" si="10"/>
        <v>1.808706315144093E-2</v>
      </c>
      <c r="E59" s="75">
        <f t="shared" si="10"/>
        <v>1.3673088875077788E-2</v>
      </c>
      <c r="F59" s="75">
        <f t="shared" si="10"/>
        <v>1.1313639220615901E-2</v>
      </c>
      <c r="G59" s="75">
        <f t="shared" si="10"/>
        <v>3.1108230719377739E-2</v>
      </c>
      <c r="H59" s="75">
        <f t="shared" si="10"/>
        <v>1.2467191601049921E-2</v>
      </c>
      <c r="I59" s="75">
        <f t="shared" si="10"/>
        <v>1.2624584717608078E-2</v>
      </c>
      <c r="J59" s="75">
        <f t="shared" si="10"/>
        <v>1.620526671168121E-2</v>
      </c>
      <c r="K59" s="75">
        <f t="shared" si="10"/>
        <v>2.5623268698060864E-2</v>
      </c>
      <c r="L59" s="75">
        <f t="shared" si="10"/>
        <v>1.3689013689013763E-2</v>
      </c>
      <c r="M59" s="75">
        <f t="shared" si="10"/>
        <v>1.7863522686673905E-2</v>
      </c>
      <c r="N59" s="76">
        <f t="shared" si="10"/>
        <v>1.266280752532567E-2</v>
      </c>
    </row>
    <row r="60" spans="1:14" x14ac:dyDescent="0.2">
      <c r="A60" s="7" t="s">
        <v>25</v>
      </c>
      <c r="B60" s="8"/>
      <c r="C60" s="144">
        <f>C48/G48-1</f>
        <v>8.0138277812696446E-2</v>
      </c>
      <c r="D60" s="8"/>
      <c r="E60" s="8"/>
      <c r="F60" s="8"/>
      <c r="G60" s="144">
        <f>G48/K48-1</f>
        <v>7.4274139095205971E-2</v>
      </c>
      <c r="H60" s="8"/>
      <c r="I60" s="8"/>
      <c r="J60" s="8"/>
      <c r="K60" s="144">
        <f>K48/O48-1</f>
        <v>7.1635311143270597E-2</v>
      </c>
      <c r="L60" s="8"/>
      <c r="M60" s="8"/>
      <c r="N60" s="9"/>
    </row>
    <row r="61" spans="1:14" x14ac:dyDescent="0.2">
      <c r="C61" s="11" t="s">
        <v>107</v>
      </c>
    </row>
    <row r="63" spans="1:14" x14ac:dyDescent="0.2">
      <c r="A63" s="2" t="s">
        <v>108</v>
      </c>
      <c r="B63" s="3">
        <v>285</v>
      </c>
      <c r="C63" s="3">
        <f>C48+B63</f>
        <v>3722</v>
      </c>
      <c r="D63" s="140">
        <f>C63/C48-1</f>
        <v>8.2921152167588108E-2</v>
      </c>
      <c r="E63" t="s">
        <v>110</v>
      </c>
    </row>
    <row r="64" spans="1:14" x14ac:dyDescent="0.2">
      <c r="A64" s="7"/>
      <c r="B64" s="8">
        <v>315</v>
      </c>
      <c r="C64" s="8">
        <f>B64+C48</f>
        <v>3752</v>
      </c>
      <c r="D64" s="141">
        <f>C64/C48-1</f>
        <v>9.1649694501018342E-2</v>
      </c>
    </row>
    <row r="65" spans="4:5" x14ac:dyDescent="0.2">
      <c r="D65" s="1">
        <f>(D63+D64)/2</f>
        <v>8.7285423334303225E-2</v>
      </c>
      <c r="E65" t="s">
        <v>29</v>
      </c>
    </row>
  </sheetData>
  <mergeCells count="2">
    <mergeCell ref="A31:F31"/>
    <mergeCell ref="B32:D32"/>
  </mergeCells>
  <pageMargins left="0.7" right="0.7" top="0.75" bottom="0.75" header="0.3" footer="0.3"/>
  <pageSetup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FdsFormulaCache xmlns="urn:fdsformulacache" version="2" timestamp="1723939742"><![CDATA[{"DRI-US^FE_VALUATION(PE,MEAN,ANN,+2,NOW,,,'')":13.679797,"DRI-US^FE_VALUATION(PE,MEAN,ANN,+1,NOW,,,'')":15.1076,"DRI-US^FE_VALUATION(FFEV_EBITDA,MEAN,ANN,+2,NOW,,,'')":11.560074,"DRI-US^FE_VALUATION(FFEV_EBITDA,MEAN,ANN,+1,NOW,,,'')":12.355792,"DRI-US^FE_VALUATION(FFEV_SALES,MEAN,ANN,+2,NOW,,,'')":1.9006957,"DRI-US^FE_VALUATION(FFEV_SALES,MEAN,ANN,+1,NOW,,,'')":2.0124938,"DPZ-US^FE_VALUATION(PE,MEAN,ANN,+2,NOW,,,'')":24.88773,"DPZ-US^FE_VALUATION(PE,MEAN,ANN,+1,NOW,,,'')":27.399082,"DPZ-US^FE_VALUATION(FFEV_EBITDA,MEAN,ANN,+2,NOW,,,'')":19.14693,"DPZ-US^FE_VALUATION(FFEV_EBITDA,MEAN,ANN,+1,NOW,,,'')":20.680777,"DPZ-US^FE_VALUATION(FFEV_SALES,MEAN,ANN,+2,NOW,,,'')":3.9455338,"DPZ-US^FE_VALUATION(FFEV_SALES,MEAN,ANN,+1,NOW,,,'')":4.2132473,"QSR-US^FE_VALUATION(PE,MEAN,ANN,+2,NOW,,,'')":18.264132,"QSR-US^FE_VALUATION(PE,MEAN,ANN,+1,NOW,,,'')":20.789036,"QSR-US^FE_VALUATION(FFEV_EBITDA,MEAN,ANN,+2,NOW,,,'')":16.068605,"QSR-US^FE_VALUATION(FFEV_EBITDA,MEAN,ANN,+1,NOW,,,'')":17.672846,"QSR-US^FE_VALUATION(FFEV_SALES,MEAN,ANN,+2,NOW,,,'')":5.168192,"QSR-US^FE_VALUATION(FFEV_SALES,MEAN,ANN,+1,NOW,,,'')":5.7760167,"MCD-US^FE_VALUATION(PE,MEAN,ANN,+2,NOW,,,'')":21.85813,"MCD-US^FE_VALUATION(PE,MEAN,ANN,+1,NOW,,,'')":23.64005,"MCD-US^FE_VALUATION(FFEV_EBITDA,MEAN,ANN,+2,NOW,,,'')":17.041227,"MCD-US^FE_VALUATION(FFEV_EBITDA,MEAN,ANN,+1,NOW,,,'')":18.003386,"MCD-US^FE_VALUATION(FFEV_SALES,MEAN,ANN,+2,NOW,,,'')":9.263808,"MCD-US^FE_VALUATION(FFEV_SALES,MEAN,ANN,+1,NOW,,,'')":9.721059,"YUM-US^FE_VALUATION(PE,MEAN,ANN,+2,NOW,,,'')":21.80532,"YUM-US^FE_VALUATION(PE,MEAN,ANN,+1,NOW,,,'')":24.350468,"YUM-US^FE_VALUATION(FFEV_EBITDA,MEAN,ANN,+2,NOW,,,'')":17.328362,"YUM-US^FE_VALUATION(FFEV_EBITDA,MEAN,ANN,+1,NOW,,,'')":18.602783,"YUM-US^FE_VALUATION(FFEV_SALES,MEAN,ANN,+2,NOW,,,'')":6.1840897,"YUM-US^FE_VALUATION(FFEV_SALES,MEAN,ANN,+1,NOW,,,'')":6.6259627,"WEN-US^FE_VALUATION(PE,MEAN,ANN,+2,NOW,,,'')":15.858171,"WEN-US^FE_VALUATION(PE,MEAN,ANN,+1,NOW,,,'')":17.13813,"WEN-US^FE_VALUATION(FFEV_EBITDA,MEAN,ANN,+2,NOW,,,'')":12.665335,"WEN-US^FE_VALUATION(FFEV_EBITDA,MEAN,ANN,+1,NOW,,,'')":13.217694,"WEN-US^FE_VALUATION(FFEV_SALES,MEAN,ANN,+2,NOW,,,'')":3.0748017,"WEN-US^FE_VALUATION(FFEV_SALES,MEAN,ANN,+1,NOW,,,'')":3.1908774,"SBUX-US^FE_VALUATION(PE,MEAN,ANN,+2,NOW,,,'')":23.879494,"SBUX-US^FE_VALUATION(PE,MEAN,ANN,+1,NOW,,,'')":26.620718,"SBUX-US^FE_VALUATION(FFEV_EBITDA,MEAN,ANN,+2,NOW,,,'')":16.250078,"SBUX-US^FE_VALUATION(FFEV_EBITDA,MEAN,ANN,+1,NOW,,,'')":17.817831,"SBUX-US^FE_VALUATION(FFEV_SALES,MEAN,ANN,+2,NOW,,,'')":3.3331656,"SBUX-US^FE_VALUATION(FFEV_SALES,MEAN,ANN,+1,NOW,,,'')":3.5609019,"CMG-US^FE_VALUATION(PE,MEAN,ANN,+2,NOW,,,'')":40.527287,"CMG-US^FE_VALUATION(PE,MEAN,ANN,+1,NOW,,,'')":48.135593,"CMG-US^FE_VALUATION(FFEV_EBITDA,MEAN,ANN,+2,NOW,,,'')":28.461329,"CMG-US^FE_VALUATION(FFEV_EBITDA,MEAN,ANN,+1,NOW,,,'')":33.677193,"CMG-US^FE_VALUATION(FFEV_SALES,MEAN,ANN,+2,NOW,,,'')":5.849148,"CMG-US^FE_VALUATION(FFEV_SALES,MEAN,ANN,+1,NOW,,,'')":6.6399584,"DRI-US^FF_EBITDA_OPER(ANN_R,-1AY,,,,USD)":1564.6,"MCD-US^FF_SALES(ANN_R,-2AY,,,,USD)":23222.9,"SBUX-US^FF_EBITDA_OPER(ANN_R,-1AY,,,,USD)":7304.4,"SBUX-US^FF_DEBT(QTR_R,0)":25291.8,"SBUX-US^FG_COMPANY_NAME":"Starbucks Corporation","WEN-US^FG_PRICE(0,,,USD)":16.93,"CMG-US^FF_DEBT(QTR_R,0)":4278.758,"DRI-US^FF_SALES(ANN_R,0Y,,,,USD)":11390.0,"DPZ-US^FF_EBITDA_OPER(ANN_R,-1AY,,,,USD)":828.816,"QSR-US^FF_EBITDA_OPER(ANN_R,0Y,,,,USD)":2339.0,"MCD-US^FF_NET_INC(ANN_R,-1AY,,,,USD)":6177.4,"YUM-US^FF_NET_INC(ANN_R,0Y,,,,USD)":1597.0,"YUM-US^FF_SALES(ANN_R,-2AY,,,,USD)":6584.0,"WEN-US^FF_SALES(ANN_R,-1AY,,,,USD)":2095.505,"SBUX-US^FF_SALES(ANN_R,0Y,,,,USD)":35952.0,"CMG-US^FF_EBITDA_OPER(ANN_R,-1AY,,,,USD)":1509.475,"DRI-US^FF_CASH_ST(QTR_R,0)":220.1,"SBUX-US^FF_CASH_ST(QTR_R,0)":3391.4,"DPZ-US^FCS_SHARES(TOT,SHS,ANN,0,,,,,M)":35.279639,"MCD-US^FCS_SHARES(TOT,SHS,ANN,0,,,,,M)":727.679518,"WEN-US^FCS_SHARES(TOT,SHS,ANN,0,,,,,M)":207.871,"CMG-US^FCS_SHARES(TOT,SHS,ANN,0,,,,,M)":1383.44878092249,"CMG-US^FF_CASH_ST(QTR_R,0)":1489.815,"DPZ-US^FF_SALES(ANN_R,0Y,,,,USD)":4479.358,"QSR-US^FF_EBITDA_OPER(ANN_R,-1AY,,,,USD)":2219.0,"YUM-US^FF_NET_INC(ANN_R,-1AY,,,,USD)":1325.0,"WEN-US^FF_SALES(ANN_R,-2AY,,,,USD)":1896.998,"CMG-US^FF_SALES(ANN_R,0Y,,,,USD)":9871.649,"MCD-US^FG_PRICE(0,,,USD)":278.49,"MCD-US^FF_CASH_ST(QTR_R,0)":792.0,"DRI-US^FF_SALES(ANN_R,-1AY,,,,USD)":10487.8,"MCD-US^FF_EBITDA_OPER(ANN_R,0Y,,,,USD)":13697.0,"WEN-US^FF_NET_INC(ANN_R,0Y,,,,USD)":204.44,"SBUX-US^FF_SALES(ANN_R,-1AY,,,,USD)":32228.3,"YUM-US^FF_DEBT(QTR_R,0)":12012.0,"MCD-US^FG_COMPANY_NAME":"McDonald's Corporation","DRI-US^FF_NET_INC(ANN_R,0Y,,,,USD)":1030.5,"DRI-US^FF_SALES(ANN_R,-2AY,,,,USD)":9630.0,"DPZ-US^FF_SALES(ANN_R,-1AY,,,,USD)":4537.158,"QSR-US^FF_SALES(ANN_R,0Y,,,,USD)":7022.00000000281,"MCD-US^FF_EBITDA_OPER(ANN_R,-1AY,,,,USD)":12224.5,"YUM-US^FF_EBITDA_OPER(ANN_R,0Y,,,,USD)":2506.0,"WEN-US^FF_NET_INC(ANN_R,-1AY,,,,USD)":177.37,"SBUX-US^FF_NET_INC(ANN_R,0Y,,,,USD)":4124.5,"SBUX-US^FF_SALES(ANN_R,-2AY,,,,USD)":29058.8,"CMG-US^FF_SALES(ANN_R,-1AY,,,,USD)":8634.652,"DPZ-US^FF_CASH_ST(QTR_R,0)":560.767,"YUM-US^FF_CASH_ST(QTR_R,0)":703.0,"DPZ-US^FG_COMPANY_NAME":"Domino's Pizza, Inc.","CMG-US^FG_COMPANY_NAME":"Chipotle Mexican Grill, Inc.","DRI-US^FF_NET_INC(ANN_R,-1AY,,,,USD)":983.5,"DPZ-US^FF_NET_INC(ANN_R,0Y,,,,USD)":519.118,"DPZ-US^FF_SALES(ANN_R,-2AY,,,,USD)":4357.373,"QSR-US^FF_SALES(ANN_R,-1AY,,,,USD)":6505.00000001044,"MCD-US^FF_SALES(ANN_R,0Y,,,,USD)":25493.7,"YUM-US^FF_EBITDA_OPER(ANN_R,-1AY,,,,USD)":2355.0,"WEN-US^FF_EBITDA_OPER(ANN_R,0Y,,,,USD)":526.504,"CMG-US^FF_NET_INC(ANN_R,0Y,,,,USD)":1228.737,"CMG-US^FF_SALES(ANN_R,-2AY,,,,USD)":7547.061,"QSR-US^FF_DEBT(QTR_R,0)":15966.0,"WEN-US^FF_DEBT(QTR_R,0)":4103.697,"DRI-US^FCS_SHARES(TOT,SHS,ANN,0,,,,,M)":119.8045,"QSR-US^FCS_SHARES(TOT,SHS,ANN,0,,,,,M)":457.852611,"YUM-US^FCS_SHARES(TOT,SHS,ANN,0,,,,,M)":285.144745,"SBUX-US^FCS_SHARES(TOT,SHS,ANN,0,,,,,M)":1150.691279,"QSR-US^FF_NET_INC(ANN_R,-1AY,,,,USD)":1008.00000000162,"WEN-US^FF_SALES(ANN_R,0Y,,,,USD)":2181.578,"MCD-US^FF_DEBT(QTR_R,0)":51999.0,"YUM-US^FG_COMPANY_NAME":"Yum! Brands, Inc.","DPZ-US^FG_PRICE(0,,,USD)":442.91,"SBUX-US^FF_NET_INC(ANN_R,-1AY,,,,USD)":3281.6,"MCD-US^FF_NET_INC(ANN_R,0Y,,,,USD)":8468.8,"CMG-US^FF_EBITDA_OPER(ANN_R,0Y,,,,USD)":1947.743,"DRI-US^FG_COMPANY_NAME":"Darden Restaurants, Inc.","CMG-US^FG_PRICE(0,,,USD)":52.47,"DRI-US^FF_EBITDA_OPER(ANN_R,0Y,,,,USD)":1795.2,"DPZ-US^FF_NET_INC(ANN_R,-1AY,,,,USD)":452.263,"QSR-US^FF_NET_INC(ANN_R,0Y,,,,USD)":1190.00000000048,"QSR-US^FF_SALES(ANN_R,-2AY,,,,USD)":5739.00000001204,"MCD-US^FF_SALES(ANN_R,-1AY,,,,USD)":23182.6,"YUM-US^FF_SALES(ANN_R,0Y,,,,USD)":7076.0,"WEN-US^FF_EBITDA_OPER(ANN_R,-1AY,,,,USD)":499.693,"SBUX-US^FF_EBITDA_OPER(ANN_R,0Y,,,,USD)":6824.7,"CMG-US^FF_NET_INC(ANN_R,-1AY,,,,USD)":899.101,"CMG-US^FF_EPS(ANN_R,NOW)":0.8868,"QSR-US^FF_CASH_ST(QTR_R,0)":942.0,"WEN-US^FF_CASH_ST(QTR_R,0)":524.641,"DRI-US^FG_PRICE(0,,,USD)":143.36,"QSR-US^FG_PRICE(0,,,USD)":70.81,"YUM-US^FG_PRICE(0,,,USD)":137.4,"SBUX-US^FG_PRICE(0,,,USD)":94.81,"CMG-US^FREF_SHARES_COMPANY(0,,,,0,\"LEGACY\")":1369.47595214844,"DPZ-US^FF_EBITDA_OPER(ANN_R,0Y,,,,USD)":901.607,"YUM-US^FF_SALES(ANN_R,-1AY,,,,USD)":6842.0,"DRI-US^FF_DEBT(QTR_R,0)":6733.1,"QSR-US^FG_COMPANY_NAME":"Restaurant Brands International, Inc.","DPZ-US^FF_DEBT(QTR_R,0)":5201.998,"WEN-US^FG_COMPANY_NAME":"Wendy's Company","KEMIRA-FI^FE_VALUATION(PE,MEAN,ANN,+2,NOW,,,'')":12.059049,"KEMIRA-FI^FE_VALUATION(PE,MEAN,ANN,+1,NOW,,,'')":11.413991,"KEMIRA-FI^FE_VALUATION(FFEV_EBITDA,MEAN,ANN,+2,NOW,,,'')":6.3116217,"KEMIRA-FI^FE_VALUATION(FFEV_EBITDA,MEAN,ANN,+1,NOW,,,'')":6.171523,"KEMIRA-FI^FE_VALUATION(FFEV_SALES,MEAN,ANN,+2,NOW,,,'')":1.2180045,"KEMIRA-FI^FE_VALUATION(FFEV_SALES,MEAN,ANN,+1,NOW,,,'')":1.2302777,"VIE-FR^FE_VALUATION(PE,MEAN,ANN,+2,NOW,,,'')":12.4642105,"VIE-FR^FE_VALUATION(PE,MEAN,ANN,+1,NOW,,,'')":13.817805,"VIE-FR^FE_VALUATION(FFEV_EBITDA,MEAN,ANN,+2,NOW,,,'')":6.8326106,"VIE-FR^FE_VALUATION(FFEV_EBITDA,MEAN,ANN,+1,NOW,,,'')":7.246308,"VIE-FR^FE_VALUATION(FFEV_SALES,MEAN,ANN,+2,NOW,,,'')":1.0247288,"VIE-FR^FE_VALUATION(FFEV_SALES,MEAN,ANN,+1,NOW,,,'')":1.0679462,"PNR-US^FE_VALUATION(PE,MEAN,ANN,+2,NOW,,,'')":17.661356,"PNR-US^FE_VALUATION(PE,MEAN,ANN,+1,NOW,,,'')":19.924946,"PNR-US^FE_VALUATION(FFEV_EBITDA,MEAN,ANN,+2,NOW,,,'')":14.195156,"PNR-US^FE_VALUATION(FFEV_EBITDA,MEAN,ANN,+1,NOW,,,'')":15.434695,"PNR-US^FE_VALUATION(FFEV_SALES,MEAN,ANN,+2,NOW,,,'')":3.6833515,"PNR-US^FE_VALUATION(FFEV_SALES,MEAN,ANN,+1,NOW,,,'')":3.8431766,"STE-US^FE_VALUATION(PE,MEAN,ANN,+2,NOW,,,'')":23.000706,"STE-US^FE_VALUATION(PE,MEAN,ANN,+1,NOW,,,'')":25.36463,"STE-US^FE_VALUATION(FFEV_EBITDA,MEAN,ANN,+2,NOW,,,'')":15.171759,"STE-US^FE_VALUATION(FFEV_EBITDA,MEAN,ANN,+1,NOW,,,'')":16.476425,"STE-US^FE_VALUATION(FFEV_SALES,MEAN,ANN,+2,NOW,,,'')":4.345765,"STE-US^FE_VALUATION(FFEV_SALES,MEAN,ANN,+1,NOW,,,'')":4.6104355,"CLX-US^FE_VALUATION(PE,MEAN,ANN,+2,NOW,,,'')":20.556318,"CLX-US^FE_VALUATION(PE,MEAN,ANN,+1,NOW,,,'')":21.980366,"CLX-US^FE_VALUATION(FFEV_EBITDA,MEAN,ANN,+2,NOW,,,'')":14.58043,"CLX-US^FE_VALUATION(FFEV_EBITDA,MEAN,ANN,+1,NOW,,,'')":15.526916,"CLX-US^FE_VALUATION(FFEV_SALES,MEAN,ANN,+2,NOW,,,'')":2.989947,"CLX-US^FE_VALUATION(FFEV_SALES,MEAN,ANN,+1,NOW,,,'')":3.066719,"DOV-US^FE_VALUATION(PE,MEAN,ANN,+2,NOW,,,'')":18.50968,"DOV-US^FE_VALUATION(PE,MEAN,ANN,+1,NOW,,,'')":19.663322,"DOV-US^FE_VALUATION(FFEV_EBITDA,MEAN,ANN,+2,NOW,,,'')":14.566637,"DOV-US^FE_VALUATION(FFEV_EBITDA,MEAN,ANN,+1,NOW,,,'')":15.047704,"DOV-US^FE_VALUATION(FFEV_SALES,MEAN,ANN,+2,NOW,,,'')":3.1998527,"DOV-US^FE_VALUATION(FFEV_SALES,MEAN,ANN,+1,NOW,,,'')":3.2255921,"XYL-US^FE_VALUATION(PE,MEAN,ANN,+2,NOW,,,'')":27.648222,"XYL-US^FE_VALUATION(PE,MEAN,ANN,+1,NOW,,,'')":31.22654,"XYL-US^FE_VALUATION(FFEV_EBITDA,MEAN,ANN,+2,NOW,,,'')":17.480291,"XYL-US^FE_VALUATION(FFEV_EBITDA,MEAN,ANN,+1,NOW,,,'')":19.247896,"XYL-US^FE_VALUATION(FFEV_SALES,MEAN,ANN,+2,NOW,,,'')":3.7068214,"XYL-US^FE_VALUATION(FFEV_SALES,MEAN,ANN,+1,NOW,,,'')":3.9054873,"DD-US^FE_VALUATION(PE,MEAN,ANN,+2,NOW,,,'')":18.270102,"DD-US^FE_VALUATION(PE,MEAN,ANN,+1,NOW,,,'')":21.253382,"DD-US^FE_VALUATION(FFEV_EBITDA,MEAN,ANN,+2,NOW,,,'')":12.227633,"DD-US^FE_VALUATION(FFEV_EBITDA,MEAN,ANN,+1,NOW,,,'')":13.328044,"DD-US^FE_VALUATION(FFEV_SALES,MEAN,ANN,+2,NOW,,,'')":3.133869,"DD-US^FE_VALUATION(FFEV_SALES,MEAN,ANN,+1,NOW,,,'')":3.3108578,"ECL-US^FE_VALUATION(PE,MEAN,ANN,+2,NOW,,,'')":32.151066,"ECL-US^FE_VALUATION(PE,MEAN,ANN,+1,NOW,,,'')":36.20261,"ECL-US^FE_VALUATION(FFEV_EBITDA,MEAN,ANN,+2,NOW,,,'')":20.113768,"ECL-US^FE_VALUATION(FFEV_EBITDA,MEAN,ANN,+1,NOW,,,'')":21.574793,"ECL-US^FE_VALUATION(FFEV_SALES,MEAN,ANN,+2,NOW,,,'')":4.6694045,"ECL-US^FE_VALUATION(FFEV_SALES,MEAN,ANN,+1,NOW,,,'')":4.8504586,"ECL-US^FREF_SHARES_COMPANY(0,,,,0,\"LEGACY\")":284.537628173828,"ECL-US^FF_DEBT(QTR_R,0)":8115.3,"ECL-US^FF_CASH_ST(QTR_R,0)":384.0,"KEMIRA-FI^FF_NET_INC(ANN_R,0Y,,,,USD)":215.25011664629,"KEMIRA-FI^FF_NET_INC(ANN_R,-1AY,,,,USD)":243.51076130867,"KEMIRA-FI^FF_EBITDA_OPER(ANN_R,0Y,,,,USD)":676.56215,"KEMIRA-FI^FF_EBITDA_OPER(ANN_R,-1AY,,,,USD)":570.78418,"KEMIRA-FI^FF_SALES(ANN_R,0Y,,,,USD)":3658.17086738348,"KEMIRA-FI^FF_SALES(ANN_R,-1AY,,,,USD)":3751.55810775757,"KEMIRA-FI^FF_SALES(ANN_R,-2AY,,,,USD)":3161.08989953995,"VIE-FR^FF_NET_INC(ANN_R,0Y,,,,USD)":1038.95209491253,"VIE-FR^FF_NET_INC(ANN_R,-1AY,,,,USD)":834.894038772583,"VIE-FR^FF_EBITDA_OPER(ANN_R,0Y,,,,USD)":6482.36916,"VIE-FR^FF_EBITDA_OPER(ANN_R,-1AY,,,,USD)":6283.46046,"VIE-FR^FF_SALES(ANN_R,0Y,,,,USD)":49029.6737319231,"VIE-FR^FF_SALES(ANN_R,-1AY,,,,USD)":45071.3511089802,"VIE-FR^FF_SALES(ANN_R,-2AY,,,,USD)":33696.0316202044,"PNR-US^FF_NET_INC(ANN_R,0Y,,,,USD)":622.9,"PNR-US^FF_NET_INC(ANN_R,-1AY,,,,USD)":483.2,"PNR-US^FF_EBITDA_OPER(ANN_R,0Y,,,,USD)":904.7,"PNR-US^FF_EBITDA_OPER(ANN_R,-1AY,,,,USD)":785.4,"PNR-US^FF_SALES(ANN_R,0Y,,,,USD)":4104.5,"PNR-US^FF_SALES(ANN_R,-1AY,,,,USD)":4121.8,"PNR-US^FF_SALES(ANN_R,-2AY,,,,USD)":3764.8,"STE-US^FF_NET_INC(ANN_R,0Y,,,,USD)":551.44,"STE-US^FF_NET_INC(ANN_R,-1AY,,,,USD)":557.414,"STE-US^FF_EBITDA_OPER(ANN_R,0Y,,,,USD)":1473.085,"STE-US^FF_EBITDA_OPER(ANN_R,-1AY,,,,USD)":1364.057,"STE-US^FF_SALES(ANN_R,0Y,,,,USD)":5138.701,"STE-US^FF_SALES(ANN_R,-1AY,,,,USD)":4536.266,"STE-US^FF_SALES(ANN_R,-2AY,,,,USD)":4585.064,"CLX-US^FF_NET_INC(ANN_R,0Y,,,,USD)":280.0,"CLX-US^FF_NET_INC(ANN_R,-1AY,,,,USD)":149.0,"CLX-US^FF_EBITDA_OPER(ANN_R,0Y,,,,USD)":1151.0,"CLX-US^FF_EBITDA_OPER(ANN_R,-1AY,,,,USD)":1063.0,"CLX-US^FF_SALES(ANN_R,0Y,,,,USD)":7093.0,"CLX-US^FF_SALES(ANN_R,-1AY,,,,USD)":7389.0,"CLX-US^FF_SALES(ANN_R,-2AY,,,,USD)":7107.0,"DOV-US^FF_NET_INC(ANN_R,0Y,,,,USD)":1056.828,"DOV-US^FF_NET_INC(ANN_R,-1AY,,,,USD)":1065.376,"DOV-US^FF_EBITDA_OPER(ANN_R,0Y,,,,USD)":1747.479,"DOV-US^FF_EBITDA_OPER(ANN_R,-1AY,,,,USD)":1725.858,"DOV-US^FF_SALES(ANN_R,0Y,,,,USD)":8438.134,"DOV-US^FF_SALES(ANN_R,-1AY,,,,USD)":8508.088,"DOV-US^FF_SALES(ANN_R,-2AY,,,,USD)":7907.081,"XYL-US^FF_NET_INC(ANN_R,0Y,,,,USD)":609.0,"XYL-US^FF_NET_INC(ANN_R,-1AY,,,,USD)":355.0,"XYL-US^FF_EBITDA_OPER(ANN_R,0Y,,,,USD)":1171.0,"XYL-US^FF_EBITDA_OPER(ANN_R,-1AY,,,,USD)":901.0,"XYL-US^FF_SALES(ANN_R,0Y,,,,USD)":7367.0,"XYL-US^FF_SALES(ANN_R,-1AY,,,,USD)":5541.0,"XYL-US^FF_SALES(ANN_R,-2AY,,,,USD)":5199.0,"DD-US^FF_NET_INC(ANN_R,0Y,,,,USD)":494.0,"DD-US^FF_NET_INC(ANN_R,-1AY,,,,USD)":1012.0,"DD-US^FF_EBITDA_OPER(ANN_R,0Y,,,,USD)":2864.0,"DD-US^FF_EBITDA_OPER(ANN_R,-1AY,,,,USD)":3157.0,"DD-US^FF_SALES(ANN_R,0Y,,,,USD)":12068.0,"DD-US^FF_SALES(ANN_R,-1AY,,,,USD)":13017.0,"DD-US^FF_SALES(ANN_R,-2AY,,,,USD)":12566.0,"ECL-US^FF_NET_INC(ANN_R,0Y,,,,USD)":1372.3,"ECL-US^FF_NET_INC(ANN_R,-1AY,,,,USD)":1091.7,"ECL-US^FF_EBITDA_OPER(ANN_R,0Y,,,,USD)":3084.3,"ECL-US^FF_EBITDA_OPER(ANN_R,-1AY,,,,USD)":2548.2,"ECL-US^FF_SALES(ANN_R,0Y,,,,USD)":15320.2,"ECL-US^FF_SALES(ANN_R,-1AY,,,,USD)":14187.8,"ECL-US^FF_SALES(ANN_R,-2AY,,,,USD)":12733.1,"ECL-US^FF_EPS(ANN_R,NOW,,,,USD)":4.7899,"KEMIRA-FI^FF_DEBT(QTR_R,0)":753.1,"KEMIRA-FI^FF_CASH_ST(QTR_R,0)":384.6,"VIE-FR^FF_DEBT(QTR_R,0)":null,"VIE-FR^FF_CASH_ST(QTR_R,0)":null,"PNR-US^FF_DEBT(QTR_R,0)":1885.4,"PNR-US^FF_CASH_ST(QTR_R,0)":214.3,"STE-US^FF_DEBT(QTR_R,0)":2484.668,"STE-US^FF_CASH_ST(QTR_R,0)":198.328,"CLX-US^FF_DEBT(QTR_R,0)":3447.0,"CLX-US^FF_CASH_ST(QTR_R,0)":202.0,"DOV-US^FF_DEBT(QTR_R,0)":3171.385,"DOV-US^FF_CASH_ST(QTR_R,0)":328.752,"XYL-US^FF_DEBT(QTR_R,0)":2104.0,"XYL-US^FF_CASH_ST(QTR_R,0)":815.0,"DD-US^FF_DEBT(QTR_R,0)":7617.0,"DD-US^FF_CASH_ST(QTR_R,0)":1509.0,"KEMIRA-FI^FCS_SHARES(TOT,SHS,ANN,0,,,,,M)":154.068304,"KEMIRA-FI^FG_PRICE(0,,,USD)":22.905245,"KEMIRA-FI^FG_COMPANY_NAME":"Kemira Oyj","VIE-FR^FCS_SHARES(TOT,SHS,ANN,0,,,,,M)":718.534518,"VIE-FR^FG_PRICE(0,,,USD)":31.21444,"VIE-FR^FG_COMPANY_NAME":"Veolia Environnement SA","PNR-US^FCS_SHARES(TOT,SHS,ANN,0,,,,,M)":167.208836,"PNR-US^FG_PRICE(0,,,USD)":84.52,"PNR-US^FG_COMPANY_NAME":"Pentair plc","STE-US^FCS_SHARES(TOT,SHS,ANN,0,,,,,M)":99.845627,"STE-US^FG_PRICE(0,,,USD)":232.34,"STE-US^FG_COMPANY_NAME":"STERIS plc","CLX-US^FCS_SHARES(TOT,SHS,ANN,0,,,,,M)":125.532807,"CLX-US^FG_PRICE(0,,,USD)":145.4,"CLX-US^FG_COMPANY_NAME":"Clorox Company","DOV-US^FCS_SHARES(TOT,SHS,ANN,0,,,,,M)":140.818815,"DOV-US^FG_PRICE(0,,,USD)":179.83,"DOV-US^FG_COMPANY_NAME":"Dover Corporation","XYL-US^FCS_SHARES(TOT,SHS,ANN,0,,,,,M)":243.672389,"XYL-US^FG_PRICE(0,,,USD)":132.8,"XYL-US^FG_COMPANY_NAME":"Xylem Inc.","DD-US^FCS_SHARES(TOT,SHS,ANN,0,,,,,M)":432.723204,"DD-US^FG_PRICE(0,,,USD)":80.18,"DD-US^FG_COMPANY_NAME":"DuPont de Nemours, Inc.","ECL-US^FCS_SHARES(TOT,SHS,ANN,0,,,,,M)":287.885218,"ECL-US^FG_PRICE(0,,,USD)":240.66,"ECL-US^FG_COMPANY_NAME":"Ecolab Inc."}]]></FdsFormulaCache>
</file>

<file path=customXml/itemProps1.xml><?xml version="1.0" encoding="utf-8"?>
<ds:datastoreItem xmlns:ds="http://schemas.openxmlformats.org/officeDocument/2006/customXml" ds:itemID="{4F121F78-1D6F-4411-99E7-E46B62CE8E63}">
  <ds:schemaRefs>
    <ds:schemaRef ds:uri="urn:fdsformulacach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Raw Input</vt:lpstr>
      <vt:lpstr>MOD</vt:lpstr>
      <vt:lpstr>DCF</vt:lpstr>
      <vt:lpstr>WACC</vt:lpstr>
      <vt:lpstr>SUM</vt:lpstr>
      <vt:lpstr>CMG cost model</vt:lpstr>
      <vt:lpstr>CMG Comps &amp; market share</vt:lpstr>
      <vt:lpstr>CMG restaurant activity</vt:lpstr>
      <vt:lpstr>DCF!tgr</vt:lpstr>
      <vt:lpstr>DCF!wacc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Hongjia Cui</dc:creator>
  <cp:lastModifiedBy>Hongjia Cui</cp:lastModifiedBy>
  <dcterms:created xsi:type="dcterms:W3CDTF">2024-07-16T19:30:32Z</dcterms:created>
  <dcterms:modified xsi:type="dcterms:W3CDTF">2024-09-25T00:54:13Z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dsSearchOrder">
    <vt:i4>0</vt:i4>
  </property>
</Properties>
</file>