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ui1\Desktop\"/>
    </mc:Choice>
  </mc:AlternateContent>
  <xr:revisionPtr revIDLastSave="0" documentId="13_ncr:1_{569DAC75-0A6F-451A-8B0E-AA8EB93CE0D5}" xr6:coauthVersionLast="36" xr6:coauthVersionMax="47" xr10:uidLastSave="{00000000-0000-0000-0000-000000000000}"/>
  <bookViews>
    <workbookView xWindow="0" yWindow="0" windowWidth="25770" windowHeight="17595" firstSheet="1" activeTab="2" xr2:uid="{00000000-000D-0000-FFFF-FFFF00000000}"/>
  </bookViews>
  <sheets>
    <sheet name="__FDSCACHE__" sheetId="8" state="veryHidden" r:id="rId1"/>
    <sheet name="Raw Input" sheetId="2" r:id="rId2"/>
    <sheet name="MOD" sheetId="3" r:id="rId3"/>
    <sheet name="SUM" sheetId="5" r:id="rId4"/>
    <sheet name="ECL Comps &amp; market share" sheetId="6" r:id="rId5"/>
    <sheet name="Rev Breakdown" sheetId="1" r:id="rId6"/>
    <sheet name="Regional Breakdown" sheetId="7" r:id="rId7"/>
  </sheets>
  <definedNames>
    <definedName name="_bdm.1374bf2687714150a6b31bc1ca0a0b61.edm" localSheetId="4" hidden="1">'ECL Comps &amp; market share'!$1:$1048576</definedName>
    <definedName name="_bdm.1374bf2687714150a6b31bc1ca0a0b61.edm" hidden="1">#REF!</definedName>
    <definedName name="_bdm.2ce96c87f19a450da146a0c4aa3f4f37.edm" localSheetId="4" hidden="1">#REF!</definedName>
    <definedName name="_bdm.2ce96c87f19a450da146a0c4aa3f4f37.edm" localSheetId="2" hidden="1">#REF!</definedName>
    <definedName name="_bdm.2ce96c87f19a450da146a0c4aa3f4f37.edm" localSheetId="1" hidden="1">#REF!</definedName>
    <definedName name="_bdm.2ce96c87f19a450da146a0c4aa3f4f37.edm" hidden="1">#REF!</definedName>
    <definedName name="_bdm.fcdcb85f66d84a7aac098aaed3657232.edm" localSheetId="4" hidden="1">#REF!</definedName>
    <definedName name="_bdm.fcdcb85f66d84a7aac098aaed3657232.edm" localSheetId="2" hidden="1">#REF!</definedName>
    <definedName name="_bdm.fcdcb85f66d84a7aac098aaed3657232.edm" localSheetId="1" hidden="1">#REF!</definedName>
    <definedName name="_bdm.fcdcb85f66d84a7aac098aaed3657232.edm" hidden="1">#REF!</definedName>
    <definedName name="_xlnm._FilterDatabase" localSheetId="4" hidden="1">'ECL Comps &amp; market share'!$A$38:$AC$87</definedName>
    <definedName name="_xlnm.Database" localSheetId="4">#REF!</definedName>
    <definedName name="_xlnm.Database" localSheetId="2">#REF!</definedName>
    <definedName name="_xlnm.Database" localSheetId="1">#REF!</definedName>
    <definedName name="_xlnm.Databas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45190.6061111111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s">#REF!</definedName>
    <definedName name="tgr">#REF!</definedName>
    <definedName name="wacc">#REF!</definedName>
  </definedNames>
  <calcPr calcId="191029"/>
</workbook>
</file>

<file path=xl/calcChain.xml><?xml version="1.0" encoding="utf-8"?>
<calcChain xmlns="http://schemas.openxmlformats.org/spreadsheetml/2006/main">
  <c r="AD10" i="3" l="1"/>
  <c r="AH34" i="3"/>
  <c r="AH35" i="3"/>
  <c r="X83" i="3" l="1"/>
  <c r="S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W83" i="3"/>
  <c r="V83" i="3"/>
  <c r="U83" i="3"/>
  <c r="T83" i="3"/>
  <c r="R83" i="3"/>
  <c r="Q83" i="3"/>
  <c r="P83" i="3"/>
  <c r="O83" i="3"/>
  <c r="N83" i="3"/>
  <c r="H13" i="5"/>
  <c r="K9" i="1"/>
  <c r="L13" i="5"/>
  <c r="K13" i="5"/>
  <c r="G28" i="5" s="1"/>
  <c r="J13" i="5"/>
  <c r="G30" i="5" s="1"/>
  <c r="C33" i="5" s="1"/>
  <c r="I13" i="5"/>
  <c r="I21" i="5" s="1"/>
  <c r="G13" i="5"/>
  <c r="C11" i="5"/>
  <c r="C13" i="5" s="1"/>
  <c r="I64" i="3"/>
  <c r="J64" i="3"/>
  <c r="K64" i="3"/>
  <c r="L64" i="3"/>
  <c r="M64" i="3"/>
  <c r="N64" i="3"/>
  <c r="O64" i="3"/>
  <c r="P64" i="3"/>
  <c r="Q64" i="3"/>
  <c r="S64" i="3"/>
  <c r="T64" i="3"/>
  <c r="U64" i="3"/>
  <c r="V64" i="3"/>
  <c r="X64" i="3"/>
  <c r="Y64" i="3"/>
  <c r="Z64" i="3"/>
  <c r="AA64" i="3"/>
  <c r="AC64" i="3"/>
  <c r="AD64" i="3"/>
  <c r="AE64" i="3"/>
  <c r="I70" i="3"/>
  <c r="J70" i="3"/>
  <c r="K70" i="3"/>
  <c r="L70" i="3"/>
  <c r="M70" i="3"/>
  <c r="N70" i="3"/>
  <c r="O70" i="3"/>
  <c r="P70" i="3"/>
  <c r="Q70" i="3"/>
  <c r="S70" i="3"/>
  <c r="T70" i="3"/>
  <c r="U70" i="3"/>
  <c r="V70" i="3"/>
  <c r="X70" i="3"/>
  <c r="Y70" i="3"/>
  <c r="Z70" i="3"/>
  <c r="AA70" i="3"/>
  <c r="AC70" i="3"/>
  <c r="AD70" i="3"/>
  <c r="AE70" i="3"/>
  <c r="AC81" i="3"/>
  <c r="AC82" i="3"/>
  <c r="I11" i="5" s="1"/>
  <c r="AG104" i="3"/>
  <c r="AF104" i="3"/>
  <c r="AE104" i="3"/>
  <c r="AD104" i="3"/>
  <c r="AC7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AC122" i="3"/>
  <c r="AC150" i="3" s="1"/>
  <c r="AB122" i="3"/>
  <c r="AB150" i="3" s="1"/>
  <c r="AA122" i="3"/>
  <c r="AA150" i="3" s="1"/>
  <c r="Z122" i="3"/>
  <c r="Z150" i="3" s="1"/>
  <c r="Y122" i="3"/>
  <c r="Y150" i="3" s="1"/>
  <c r="X122" i="3"/>
  <c r="X150" i="3" s="1"/>
  <c r="W122" i="3"/>
  <c r="W150" i="3" s="1"/>
  <c r="V122" i="3"/>
  <c r="V150" i="3" s="1"/>
  <c r="U122" i="3"/>
  <c r="U150" i="3" s="1"/>
  <c r="T122" i="3"/>
  <c r="T150" i="3" s="1"/>
  <c r="S122" i="3"/>
  <c r="S150" i="3" s="1"/>
  <c r="R122" i="3"/>
  <c r="R150" i="3" s="1"/>
  <c r="Q122" i="3"/>
  <c r="Q150" i="3" s="1"/>
  <c r="P122" i="3"/>
  <c r="P150" i="3" s="1"/>
  <c r="O122" i="3"/>
  <c r="O150" i="3" s="1"/>
  <c r="N122" i="3"/>
  <c r="N150" i="3" s="1"/>
  <c r="M122" i="3"/>
  <c r="M150" i="3" s="1"/>
  <c r="L122" i="3"/>
  <c r="L150" i="3" s="1"/>
  <c r="K122" i="3"/>
  <c r="K150" i="3" s="1"/>
  <c r="J122" i="3"/>
  <c r="J150" i="3" s="1"/>
  <c r="I122" i="3"/>
  <c r="I150" i="3" s="1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I104" i="3" s="1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AE88" i="3"/>
  <c r="AF88" i="3" s="1"/>
  <c r="AG88" i="3" s="1"/>
  <c r="AH88" i="3" s="1"/>
  <c r="AI88" i="3" s="1"/>
  <c r="AJ88" i="3" s="1"/>
  <c r="AD88" i="3"/>
  <c r="AC88" i="3"/>
  <c r="AA88" i="3"/>
  <c r="Z88" i="3"/>
  <c r="Y88" i="3"/>
  <c r="X88" i="3"/>
  <c r="V88" i="3"/>
  <c r="U88" i="3"/>
  <c r="T88" i="3"/>
  <c r="S88" i="3"/>
  <c r="Q88" i="3"/>
  <c r="P88" i="3"/>
  <c r="O88" i="3"/>
  <c r="N88" i="3"/>
  <c r="M88" i="3"/>
  <c r="L88" i="3"/>
  <c r="K88" i="3"/>
  <c r="J88" i="3"/>
  <c r="AE87" i="3"/>
  <c r="AF87" i="3" s="1"/>
  <c r="AG87" i="3" s="1"/>
  <c r="AH87" i="3" s="1"/>
  <c r="AI87" i="3" s="1"/>
  <c r="AJ87" i="3" s="1"/>
  <c r="AD87" i="3"/>
  <c r="AC87" i="3"/>
  <c r="AA87" i="3"/>
  <c r="Z87" i="3"/>
  <c r="Y87" i="3"/>
  <c r="X87" i="3"/>
  <c r="V87" i="3"/>
  <c r="U87" i="3"/>
  <c r="T87" i="3"/>
  <c r="S87" i="3"/>
  <c r="Q87" i="3"/>
  <c r="P87" i="3"/>
  <c r="O87" i="3"/>
  <c r="N87" i="3"/>
  <c r="M87" i="3"/>
  <c r="L87" i="3"/>
  <c r="K87" i="3"/>
  <c r="J87" i="3"/>
  <c r="AE82" i="3"/>
  <c r="AD82" i="3"/>
  <c r="AA82" i="3"/>
  <c r="Z82" i="3"/>
  <c r="Y82" i="3"/>
  <c r="X82" i="3"/>
  <c r="H11" i="5" s="1"/>
  <c r="V82" i="3"/>
  <c r="U82" i="3"/>
  <c r="T82" i="3"/>
  <c r="S82" i="3"/>
  <c r="G11" i="5" s="1"/>
  <c r="Q82" i="3"/>
  <c r="P82" i="3"/>
  <c r="O82" i="3"/>
  <c r="N82" i="3"/>
  <c r="M82" i="3"/>
  <c r="L82" i="3"/>
  <c r="K82" i="3"/>
  <c r="J82" i="3"/>
  <c r="AE81" i="3"/>
  <c r="AD81" i="3"/>
  <c r="AA81" i="3"/>
  <c r="Z81" i="3"/>
  <c r="Y81" i="3"/>
  <c r="X81" i="3"/>
  <c r="V81" i="3"/>
  <c r="U81" i="3"/>
  <c r="T81" i="3"/>
  <c r="S81" i="3"/>
  <c r="Q81" i="3"/>
  <c r="P81" i="3"/>
  <c r="O81" i="3"/>
  <c r="N81" i="3"/>
  <c r="M81" i="3"/>
  <c r="L81" i="3"/>
  <c r="K81" i="3"/>
  <c r="J81" i="3"/>
  <c r="AE67" i="3"/>
  <c r="AD67" i="3"/>
  <c r="AC67" i="3"/>
  <c r="AA67" i="3"/>
  <c r="Z67" i="3"/>
  <c r="Y67" i="3"/>
  <c r="X67" i="3"/>
  <c r="V67" i="3"/>
  <c r="U67" i="3"/>
  <c r="T67" i="3"/>
  <c r="S67" i="3"/>
  <c r="Q67" i="3"/>
  <c r="P67" i="3"/>
  <c r="O67" i="3"/>
  <c r="N67" i="3"/>
  <c r="M67" i="3"/>
  <c r="L67" i="3"/>
  <c r="K67" i="3"/>
  <c r="J67" i="3"/>
  <c r="AE61" i="3"/>
  <c r="AD61" i="3"/>
  <c r="AC61" i="3"/>
  <c r="AA61" i="3"/>
  <c r="Z61" i="3"/>
  <c r="Y61" i="3"/>
  <c r="X61" i="3"/>
  <c r="V61" i="3"/>
  <c r="U61" i="3"/>
  <c r="T61" i="3"/>
  <c r="S61" i="3"/>
  <c r="Q61" i="3"/>
  <c r="P61" i="3"/>
  <c r="O61" i="3"/>
  <c r="N61" i="3"/>
  <c r="M61" i="3"/>
  <c r="L61" i="3"/>
  <c r="K61" i="3"/>
  <c r="J61" i="3"/>
  <c r="AE58" i="3"/>
  <c r="AD58" i="3"/>
  <c r="AC58" i="3"/>
  <c r="AA58" i="3"/>
  <c r="Z58" i="3"/>
  <c r="Y58" i="3"/>
  <c r="X58" i="3"/>
  <c r="V58" i="3"/>
  <c r="U58" i="3"/>
  <c r="T58" i="3"/>
  <c r="S58" i="3"/>
  <c r="Q58" i="3"/>
  <c r="P58" i="3"/>
  <c r="O58" i="3"/>
  <c r="N58" i="3"/>
  <c r="M58" i="3"/>
  <c r="L58" i="3"/>
  <c r="K58" i="3"/>
  <c r="J58" i="3"/>
  <c r="AE49" i="3"/>
  <c r="AD49" i="3"/>
  <c r="AC49" i="3"/>
  <c r="AA49" i="3"/>
  <c r="Z49" i="3"/>
  <c r="Y49" i="3"/>
  <c r="X49" i="3"/>
  <c r="V49" i="3"/>
  <c r="U49" i="3"/>
  <c r="T49" i="3"/>
  <c r="S49" i="3"/>
  <c r="Q49" i="3"/>
  <c r="P49" i="3"/>
  <c r="O49" i="3"/>
  <c r="N49" i="3"/>
  <c r="M49" i="3"/>
  <c r="L49" i="3"/>
  <c r="K49" i="3"/>
  <c r="J49" i="3"/>
  <c r="AE39" i="3"/>
  <c r="AD39" i="3"/>
  <c r="AC39" i="3"/>
  <c r="AA39" i="3"/>
  <c r="AF39" i="3" s="1"/>
  <c r="Z39" i="3"/>
  <c r="Y39" i="3"/>
  <c r="X39" i="3"/>
  <c r="V39" i="3"/>
  <c r="U39" i="3"/>
  <c r="T39" i="3"/>
  <c r="S39" i="3"/>
  <c r="Q39" i="3"/>
  <c r="P39" i="3"/>
  <c r="O39" i="3"/>
  <c r="N39" i="3"/>
  <c r="M39" i="3"/>
  <c r="L39" i="3"/>
  <c r="K39" i="3"/>
  <c r="J39" i="3"/>
  <c r="AE38" i="3"/>
  <c r="AD38" i="3"/>
  <c r="AC38" i="3"/>
  <c r="AA38" i="3"/>
  <c r="AF38" i="3" s="1"/>
  <c r="Z38" i="3"/>
  <c r="Y38" i="3"/>
  <c r="X38" i="3"/>
  <c r="V38" i="3"/>
  <c r="U38" i="3"/>
  <c r="T38" i="3"/>
  <c r="S38" i="3"/>
  <c r="Q38" i="3"/>
  <c r="P38" i="3"/>
  <c r="O38" i="3"/>
  <c r="N38" i="3"/>
  <c r="M38" i="3"/>
  <c r="L38" i="3"/>
  <c r="K38" i="3"/>
  <c r="J38" i="3"/>
  <c r="AH28" i="3"/>
  <c r="AG28" i="3"/>
  <c r="AF28" i="3"/>
  <c r="AE28" i="3"/>
  <c r="AD28" i="3"/>
  <c r="AC28" i="3"/>
  <c r="AA28" i="3"/>
  <c r="Z28" i="3"/>
  <c r="Y28" i="3"/>
  <c r="X28" i="3"/>
  <c r="V28" i="3"/>
  <c r="U28" i="3"/>
  <c r="T28" i="3"/>
  <c r="S28" i="3"/>
  <c r="Q28" i="3"/>
  <c r="P28" i="3"/>
  <c r="O28" i="3"/>
  <c r="N28" i="3"/>
  <c r="M28" i="3"/>
  <c r="L28" i="3"/>
  <c r="K28" i="3"/>
  <c r="J28" i="3"/>
  <c r="AH27" i="3"/>
  <c r="AG27" i="3"/>
  <c r="AF27" i="3"/>
  <c r="AE27" i="3"/>
  <c r="AD27" i="3"/>
  <c r="AC27" i="3"/>
  <c r="AA27" i="3"/>
  <c r="Z27" i="3"/>
  <c r="Y27" i="3"/>
  <c r="X27" i="3"/>
  <c r="V27" i="3"/>
  <c r="U27" i="3"/>
  <c r="T27" i="3"/>
  <c r="S27" i="3"/>
  <c r="Q27" i="3"/>
  <c r="P27" i="3"/>
  <c r="O27" i="3"/>
  <c r="N27" i="3"/>
  <c r="M27" i="3"/>
  <c r="L27" i="3"/>
  <c r="K27" i="3"/>
  <c r="J27" i="3"/>
  <c r="AE23" i="3"/>
  <c r="AD23" i="3"/>
  <c r="AC23" i="3"/>
  <c r="AA23" i="3"/>
  <c r="Z23" i="3"/>
  <c r="Y23" i="3"/>
  <c r="X23" i="3"/>
  <c r="V23" i="3"/>
  <c r="U23" i="3"/>
  <c r="T23" i="3"/>
  <c r="S23" i="3"/>
  <c r="Q23" i="3"/>
  <c r="P23" i="3"/>
  <c r="O23" i="3"/>
  <c r="N23" i="3"/>
  <c r="M23" i="3"/>
  <c r="L23" i="3"/>
  <c r="K23" i="3"/>
  <c r="J23" i="3"/>
  <c r="AE22" i="3"/>
  <c r="AD22" i="3"/>
  <c r="AC22" i="3"/>
  <c r="AA22" i="3"/>
  <c r="Z22" i="3"/>
  <c r="Y22" i="3"/>
  <c r="X22" i="3"/>
  <c r="V22" i="3"/>
  <c r="U22" i="3"/>
  <c r="T22" i="3"/>
  <c r="S22" i="3"/>
  <c r="Q22" i="3"/>
  <c r="P22" i="3"/>
  <c r="O22" i="3"/>
  <c r="N22" i="3"/>
  <c r="M22" i="3"/>
  <c r="L22" i="3"/>
  <c r="K22" i="3"/>
  <c r="J22" i="3"/>
  <c r="AE18" i="3"/>
  <c r="AD18" i="3"/>
  <c r="AC18" i="3"/>
  <c r="AA18" i="3"/>
  <c r="AF18" i="3" s="1"/>
  <c r="Z18" i="3"/>
  <c r="Y18" i="3"/>
  <c r="X18" i="3"/>
  <c r="V18" i="3"/>
  <c r="U18" i="3"/>
  <c r="T18" i="3"/>
  <c r="S18" i="3"/>
  <c r="Q18" i="3"/>
  <c r="P18" i="3"/>
  <c r="O18" i="3"/>
  <c r="N18" i="3"/>
  <c r="M18" i="3"/>
  <c r="L18" i="3"/>
  <c r="K18" i="3"/>
  <c r="J18" i="3"/>
  <c r="AE17" i="3"/>
  <c r="AD17" i="3"/>
  <c r="AC17" i="3"/>
  <c r="AA17" i="3"/>
  <c r="AF17" i="3" s="1"/>
  <c r="Z17" i="3"/>
  <c r="Y17" i="3"/>
  <c r="X17" i="3"/>
  <c r="V17" i="3"/>
  <c r="U17" i="3"/>
  <c r="T17" i="3"/>
  <c r="S17" i="3"/>
  <c r="Q17" i="3"/>
  <c r="P17" i="3"/>
  <c r="O17" i="3"/>
  <c r="N17" i="3"/>
  <c r="M17" i="3"/>
  <c r="L17" i="3"/>
  <c r="K17" i="3"/>
  <c r="J17" i="3"/>
  <c r="AE13" i="3"/>
  <c r="AD13" i="3"/>
  <c r="AC13" i="3"/>
  <c r="AA13" i="3"/>
  <c r="AF13" i="3" s="1"/>
  <c r="Z13" i="3"/>
  <c r="Y13" i="3"/>
  <c r="X13" i="3"/>
  <c r="V13" i="3"/>
  <c r="U13" i="3"/>
  <c r="T13" i="3"/>
  <c r="S13" i="3"/>
  <c r="Q13" i="3"/>
  <c r="P13" i="3"/>
  <c r="O13" i="3"/>
  <c r="N13" i="3"/>
  <c r="M13" i="3"/>
  <c r="L13" i="3"/>
  <c r="K13" i="3"/>
  <c r="J13" i="3"/>
  <c r="AE12" i="3"/>
  <c r="AD12" i="3"/>
  <c r="AC12" i="3"/>
  <c r="AA12" i="3"/>
  <c r="AF12" i="3" s="1"/>
  <c r="Z12" i="3"/>
  <c r="Y12" i="3"/>
  <c r="X12" i="3"/>
  <c r="V12" i="3"/>
  <c r="U12" i="3"/>
  <c r="T12" i="3"/>
  <c r="S12" i="3"/>
  <c r="Q12" i="3"/>
  <c r="P12" i="3"/>
  <c r="O12" i="3"/>
  <c r="N12" i="3"/>
  <c r="M12" i="3"/>
  <c r="L12" i="3"/>
  <c r="K12" i="3"/>
  <c r="J12" i="3"/>
  <c r="AE8" i="3"/>
  <c r="AD8" i="3"/>
  <c r="AC8" i="3"/>
  <c r="AA8" i="3"/>
  <c r="AF8" i="3" s="1"/>
  <c r="Z8" i="3"/>
  <c r="Y8" i="3"/>
  <c r="X8" i="3"/>
  <c r="V8" i="3"/>
  <c r="U8" i="3"/>
  <c r="T8" i="3"/>
  <c r="S8" i="3"/>
  <c r="Q8" i="3"/>
  <c r="P8" i="3"/>
  <c r="O8" i="3"/>
  <c r="N8" i="3"/>
  <c r="M8" i="3"/>
  <c r="L8" i="3"/>
  <c r="K8" i="3"/>
  <c r="J8" i="3"/>
  <c r="AE7" i="3"/>
  <c r="AD7" i="3"/>
  <c r="AA7" i="3"/>
  <c r="AF7" i="3" s="1"/>
  <c r="Z7" i="3"/>
  <c r="Y7" i="3"/>
  <c r="X7" i="3"/>
  <c r="V7" i="3"/>
  <c r="U7" i="3"/>
  <c r="T7" i="3"/>
  <c r="S7" i="3"/>
  <c r="Q7" i="3"/>
  <c r="P7" i="3"/>
  <c r="O7" i="3"/>
  <c r="N7" i="3"/>
  <c r="M7" i="3"/>
  <c r="L7" i="3"/>
  <c r="K7" i="3"/>
  <c r="J7" i="3"/>
  <c r="I88" i="3"/>
  <c r="I87" i="3"/>
  <c r="I82" i="3"/>
  <c r="I81" i="3"/>
  <c r="I67" i="3"/>
  <c r="I61" i="3"/>
  <c r="I58" i="3"/>
  <c r="I49" i="3"/>
  <c r="I39" i="3"/>
  <c r="I38" i="3"/>
  <c r="I28" i="3"/>
  <c r="I27" i="3"/>
  <c r="I23" i="3"/>
  <c r="I22" i="3"/>
  <c r="I18" i="3"/>
  <c r="I17" i="3"/>
  <c r="I13" i="3"/>
  <c r="I12" i="3"/>
  <c r="I8" i="3"/>
  <c r="I7" i="3"/>
  <c r="O104" i="3" l="1"/>
  <c r="J21" i="5"/>
  <c r="S104" i="3"/>
  <c r="J104" i="3"/>
  <c r="V104" i="3"/>
  <c r="AA104" i="3"/>
  <c r="P104" i="3"/>
  <c r="AB104" i="3"/>
  <c r="R104" i="3"/>
  <c r="Q104" i="3"/>
  <c r="AC104" i="3"/>
  <c r="T104" i="3"/>
  <c r="U104" i="3"/>
  <c r="K104" i="3"/>
  <c r="W104" i="3"/>
  <c r="L104" i="3"/>
  <c r="X104" i="3"/>
  <c r="M104" i="3"/>
  <c r="Y104" i="3"/>
  <c r="N104" i="3"/>
  <c r="Z104" i="3"/>
  <c r="AF58" i="3"/>
  <c r="AH22" i="3"/>
  <c r="J29" i="3"/>
  <c r="V29" i="3"/>
  <c r="AH29" i="3"/>
  <c r="L40" i="3"/>
  <c r="AA29" i="3"/>
  <c r="Z40" i="3"/>
  <c r="AC71" i="3"/>
  <c r="O29" i="3"/>
  <c r="N40" i="3"/>
  <c r="AC9" i="3"/>
  <c r="V71" i="3"/>
  <c r="K14" i="3"/>
  <c r="U24" i="3"/>
  <c r="Q40" i="3"/>
  <c r="S65" i="3"/>
  <c r="AE65" i="3"/>
  <c r="AD29" i="3"/>
  <c r="T65" i="3"/>
  <c r="I24" i="3"/>
  <c r="S59" i="3"/>
  <c r="AE59" i="3"/>
  <c r="AD62" i="3"/>
  <c r="V68" i="3"/>
  <c r="X40" i="3"/>
  <c r="M40" i="3"/>
  <c r="Y40" i="3"/>
  <c r="N29" i="3"/>
  <c r="Z29" i="3"/>
  <c r="X19" i="3"/>
  <c r="T19" i="3"/>
  <c r="Y71" i="3"/>
  <c r="M9" i="3"/>
  <c r="Y9" i="3"/>
  <c r="S62" i="3"/>
  <c r="AE62" i="3"/>
  <c r="M19" i="3"/>
  <c r="Y19" i="3"/>
  <c r="Q24" i="3"/>
  <c r="AC24" i="3"/>
  <c r="S40" i="3"/>
  <c r="AE40" i="3"/>
  <c r="AD33" i="3"/>
  <c r="T40" i="3"/>
  <c r="U32" i="3"/>
  <c r="P32" i="3"/>
  <c r="I29" i="3"/>
  <c r="J40" i="3"/>
  <c r="V40" i="3"/>
  <c r="T59" i="3"/>
  <c r="AE32" i="3"/>
  <c r="U33" i="3"/>
  <c r="T29" i="3"/>
  <c r="AF29" i="3"/>
  <c r="S29" i="3"/>
  <c r="AE29" i="3"/>
  <c r="AF59" i="3"/>
  <c r="S32" i="3"/>
  <c r="K33" i="3"/>
  <c r="N14" i="3"/>
  <c r="P19" i="3"/>
  <c r="AD19" i="3"/>
  <c r="U29" i="3"/>
  <c r="AG29" i="3"/>
  <c r="U68" i="3"/>
  <c r="T71" i="3"/>
  <c r="T32" i="3"/>
  <c r="Z14" i="3"/>
  <c r="I40" i="3"/>
  <c r="M14" i="3"/>
  <c r="Y14" i="3"/>
  <c r="O14" i="3"/>
  <c r="S19" i="3"/>
  <c r="J24" i="3"/>
  <c r="V24" i="3"/>
  <c r="Y50" i="3"/>
  <c r="U71" i="3"/>
  <c r="T62" i="3"/>
  <c r="AD32" i="3"/>
  <c r="I32" i="3"/>
  <c r="N50" i="3"/>
  <c r="Z50" i="3"/>
  <c r="AD9" i="3"/>
  <c r="J32" i="3"/>
  <c r="I33" i="3"/>
  <c r="N9" i="3"/>
  <c r="Z9" i="3"/>
  <c r="X68" i="3"/>
  <c r="L32" i="3"/>
  <c r="X32" i="3"/>
  <c r="O33" i="3"/>
  <c r="AA33" i="3"/>
  <c r="K24" i="3"/>
  <c r="V32" i="3"/>
  <c r="K32" i="3"/>
  <c r="I14" i="3"/>
  <c r="Q14" i="3"/>
  <c r="AC14" i="3"/>
  <c r="N24" i="3"/>
  <c r="AC50" i="3"/>
  <c r="N68" i="3"/>
  <c r="U65" i="3"/>
  <c r="I19" i="3"/>
  <c r="L19" i="3"/>
  <c r="P29" i="3"/>
  <c r="AF19" i="3"/>
  <c r="AF32" i="3"/>
  <c r="AF14" i="3"/>
  <c r="L9" i="3"/>
  <c r="X9" i="3"/>
  <c r="L14" i="3"/>
  <c r="X14" i="3"/>
  <c r="AA14" i="3"/>
  <c r="K19" i="3"/>
  <c r="AC40" i="3"/>
  <c r="O50" i="3"/>
  <c r="AA50" i="3"/>
  <c r="U59" i="3"/>
  <c r="U62" i="3"/>
  <c r="V65" i="3"/>
  <c r="Z71" i="3"/>
  <c r="M33" i="3"/>
  <c r="Y33" i="3"/>
  <c r="J19" i="3"/>
  <c r="V19" i="3"/>
  <c r="L24" i="3"/>
  <c r="X24" i="3"/>
  <c r="P40" i="3"/>
  <c r="AD40" i="3"/>
  <c r="P50" i="3"/>
  <c r="V59" i="3"/>
  <c r="V62" i="3"/>
  <c r="N71" i="3"/>
  <c r="AA71" i="3"/>
  <c r="Q50" i="3"/>
  <c r="X65" i="3"/>
  <c r="Y68" i="3"/>
  <c r="O71" i="3"/>
  <c r="Z24" i="3"/>
  <c r="K29" i="3"/>
  <c r="AD50" i="3"/>
  <c r="X59" i="3"/>
  <c r="X62" i="3"/>
  <c r="Y65" i="3"/>
  <c r="Z68" i="3"/>
  <c r="P71" i="3"/>
  <c r="N32" i="3"/>
  <c r="Z32" i="3"/>
  <c r="P14" i="3"/>
  <c r="O19" i="3"/>
  <c r="AA19" i="3"/>
  <c r="M24" i="3"/>
  <c r="Y24" i="3"/>
  <c r="O24" i="3"/>
  <c r="AA24" i="3"/>
  <c r="L29" i="3"/>
  <c r="X29" i="3"/>
  <c r="U40" i="3"/>
  <c r="S50" i="3"/>
  <c r="AE50" i="3"/>
  <c r="Y59" i="3"/>
  <c r="N59" i="3"/>
  <c r="Y62" i="3"/>
  <c r="N65" i="3"/>
  <c r="Z65" i="3"/>
  <c r="O68" i="3"/>
  <c r="AA68" i="3"/>
  <c r="Q71" i="3"/>
  <c r="AD71" i="3"/>
  <c r="AF23" i="3"/>
  <c r="AF24" i="3" s="1"/>
  <c r="Q9" i="3"/>
  <c r="O32" i="3"/>
  <c r="AA32" i="3"/>
  <c r="N19" i="3"/>
  <c r="Z19" i="3"/>
  <c r="P24" i="3"/>
  <c r="M29" i="3"/>
  <c r="Y29" i="3"/>
  <c r="T50" i="3"/>
  <c r="Z59" i="3"/>
  <c r="N62" i="3"/>
  <c r="Z62" i="3"/>
  <c r="O65" i="3"/>
  <c r="AA65" i="3"/>
  <c r="P68" i="3"/>
  <c r="AE71" i="3"/>
  <c r="AD14" i="3"/>
  <c r="Q19" i="3"/>
  <c r="AC19" i="3"/>
  <c r="K40" i="3"/>
  <c r="U50" i="3"/>
  <c r="O59" i="3"/>
  <c r="AA59" i="3"/>
  <c r="O62" i="3"/>
  <c r="AA62" i="3"/>
  <c r="P65" i="3"/>
  <c r="Q68" i="3"/>
  <c r="AC68" i="3"/>
  <c r="S71" i="3"/>
  <c r="S33" i="3"/>
  <c r="AE33" i="3"/>
  <c r="AD24" i="3"/>
  <c r="V50" i="3"/>
  <c r="P59" i="3"/>
  <c r="P62" i="3"/>
  <c r="Q65" i="3"/>
  <c r="AC65" i="3"/>
  <c r="AD68" i="3"/>
  <c r="I9" i="3"/>
  <c r="T14" i="3"/>
  <c r="AE19" i="3"/>
  <c r="Q59" i="3"/>
  <c r="AC59" i="3"/>
  <c r="Q62" i="3"/>
  <c r="AC62" i="3"/>
  <c r="AD65" i="3"/>
  <c r="S68" i="3"/>
  <c r="AE68" i="3"/>
  <c r="S14" i="3"/>
  <c r="AE14" i="3"/>
  <c r="U14" i="3"/>
  <c r="T24" i="3"/>
  <c r="Q29" i="3"/>
  <c r="AC29" i="3"/>
  <c r="X50" i="3"/>
  <c r="AD59" i="3"/>
  <c r="T68" i="3"/>
  <c r="X71" i="3"/>
  <c r="J33" i="3"/>
  <c r="V33" i="3"/>
  <c r="J14" i="3"/>
  <c r="V14" i="3"/>
  <c r="U19" i="3"/>
  <c r="S24" i="3"/>
  <c r="AE24" i="3"/>
  <c r="O40" i="3"/>
  <c r="AA40" i="3"/>
  <c r="AF40" i="3"/>
  <c r="AF9" i="3"/>
  <c r="Q32" i="3"/>
  <c r="AC32" i="3"/>
  <c r="P33" i="3"/>
  <c r="S9" i="3"/>
  <c r="AE9" i="3"/>
  <c r="Q33" i="3"/>
  <c r="AC33" i="3"/>
  <c r="T9" i="3"/>
  <c r="U9" i="3"/>
  <c r="J9" i="3"/>
  <c r="T33" i="3"/>
  <c r="V9" i="3"/>
  <c r="K9" i="3"/>
  <c r="Y32" i="3"/>
  <c r="L33" i="3"/>
  <c r="X33" i="3"/>
  <c r="M32" i="3"/>
  <c r="O9" i="3"/>
  <c r="AA9" i="3"/>
  <c r="P9" i="3"/>
  <c r="N33" i="3"/>
  <c r="Z33" i="3"/>
  <c r="R28" i="2"/>
  <c r="R28" i="3" s="1"/>
  <c r="R27" i="2"/>
  <c r="R27" i="3" s="1"/>
  <c r="R23" i="2"/>
  <c r="R23" i="3" s="1"/>
  <c r="R22" i="2"/>
  <c r="R22" i="3" s="1"/>
  <c r="R18" i="2"/>
  <c r="R18" i="3" s="1"/>
  <c r="R17" i="2"/>
  <c r="R17" i="3" s="1"/>
  <c r="R13" i="2"/>
  <c r="R13" i="3" s="1"/>
  <c r="R12" i="2"/>
  <c r="R12" i="3" s="1"/>
  <c r="R8" i="2"/>
  <c r="R8" i="3" s="1"/>
  <c r="R7" i="2"/>
  <c r="R7" i="3" s="1"/>
  <c r="W28" i="2"/>
  <c r="W28" i="3" s="1"/>
  <c r="W27" i="2"/>
  <c r="W27" i="3" s="1"/>
  <c r="W23" i="2"/>
  <c r="W23" i="3" s="1"/>
  <c r="W24" i="3" s="1"/>
  <c r="W22" i="2"/>
  <c r="W22" i="3" s="1"/>
  <c r="W18" i="2"/>
  <c r="W18" i="3" s="1"/>
  <c r="W17" i="2"/>
  <c r="W17" i="3" s="1"/>
  <c r="W13" i="2"/>
  <c r="W13" i="3" s="1"/>
  <c r="W12" i="2"/>
  <c r="W12" i="3" s="1"/>
  <c r="W7" i="2"/>
  <c r="W7" i="3" s="1"/>
  <c r="W8" i="2"/>
  <c r="W8" i="3" s="1"/>
  <c r="W9" i="3" s="1"/>
  <c r="AB28" i="2"/>
  <c r="AB28" i="3" s="1"/>
  <c r="AB27" i="2"/>
  <c r="AB27" i="3" s="1"/>
  <c r="AB23" i="2"/>
  <c r="AB23" i="3" s="1"/>
  <c r="AB22" i="2"/>
  <c r="AB22" i="3" s="1"/>
  <c r="AB18" i="2"/>
  <c r="AB18" i="3" s="1"/>
  <c r="AG18" i="3" s="1"/>
  <c r="AH18" i="3" s="1"/>
  <c r="AB17" i="2"/>
  <c r="AB17" i="3" s="1"/>
  <c r="AG17" i="3" s="1"/>
  <c r="AH17" i="3" s="1"/>
  <c r="AB13" i="2"/>
  <c r="AB13" i="3" s="1"/>
  <c r="AG13" i="3" s="1"/>
  <c r="AB12" i="2"/>
  <c r="AB12" i="3" s="1"/>
  <c r="AG12" i="3" s="1"/>
  <c r="AH12" i="3" s="1"/>
  <c r="AB8" i="2"/>
  <c r="AB8" i="3" s="1"/>
  <c r="AG8" i="3" s="1"/>
  <c r="AH8" i="3" s="1"/>
  <c r="AB7" i="2"/>
  <c r="AB7" i="3" s="1"/>
  <c r="AG7" i="3" s="1"/>
  <c r="AD32" i="2"/>
  <c r="AD34" i="2"/>
  <c r="AE33" i="2"/>
  <c r="AD33" i="2"/>
  <c r="AE32" i="2"/>
  <c r="AE29" i="2"/>
  <c r="AD29" i="2"/>
  <c r="AE24" i="2"/>
  <c r="AD24" i="2"/>
  <c r="AE19" i="2"/>
  <c r="AD19" i="2"/>
  <c r="AD14" i="2"/>
  <c r="AE14" i="2"/>
  <c r="AE9" i="2"/>
  <c r="AD9" i="2"/>
  <c r="R59" i="2"/>
  <c r="R87" i="3" s="1"/>
  <c r="R56" i="2"/>
  <c r="R82" i="3" s="1"/>
  <c r="R60" i="2"/>
  <c r="R88" i="3" s="1"/>
  <c r="R55" i="2"/>
  <c r="R81" i="3" s="1"/>
  <c r="R52" i="2"/>
  <c r="R70" i="3" s="1"/>
  <c r="R71" i="3" s="1"/>
  <c r="R51" i="2"/>
  <c r="R50" i="2"/>
  <c r="R48" i="2"/>
  <c r="R67" i="3" s="1"/>
  <c r="R68" i="3" s="1"/>
  <c r="R47" i="2"/>
  <c r="R64" i="3" s="1"/>
  <c r="R65" i="3" s="1"/>
  <c r="R45" i="2"/>
  <c r="R61" i="3" s="1"/>
  <c r="R44" i="2"/>
  <c r="R58" i="3" s="1"/>
  <c r="R59" i="3" s="1"/>
  <c r="R43" i="2"/>
  <c r="R41" i="2"/>
  <c r="R40" i="2"/>
  <c r="R49" i="3" s="1"/>
  <c r="R50" i="3" s="1"/>
  <c r="R38" i="2"/>
  <c r="R37" i="2"/>
  <c r="R39" i="3" s="1"/>
  <c r="R40" i="3" s="1"/>
  <c r="R36" i="2"/>
  <c r="R38" i="3" s="1"/>
  <c r="AB36" i="2"/>
  <c r="AB38" i="3" s="1"/>
  <c r="AG38" i="3" s="1"/>
  <c r="AH38" i="3" s="1"/>
  <c r="AB37" i="2"/>
  <c r="AB39" i="3" s="1"/>
  <c r="AG39" i="3" s="1"/>
  <c r="AH39" i="3" s="1"/>
  <c r="AB51" i="2"/>
  <c r="AB48" i="2"/>
  <c r="AB67" i="3" s="1"/>
  <c r="AB45" i="2"/>
  <c r="AB61" i="3" s="1"/>
  <c r="AB60" i="2"/>
  <c r="AB88" i="3" s="1"/>
  <c r="AB59" i="2"/>
  <c r="AB87" i="3" s="1"/>
  <c r="AB56" i="2"/>
  <c r="AB82" i="3" s="1"/>
  <c r="AB55" i="2"/>
  <c r="AB81" i="3" s="1"/>
  <c r="AB52" i="2"/>
  <c r="AB70" i="3" s="1"/>
  <c r="AB50" i="2"/>
  <c r="AB47" i="2"/>
  <c r="AB64" i="3" s="1"/>
  <c r="AB44" i="2"/>
  <c r="AB58" i="3" s="1"/>
  <c r="AB43" i="2"/>
  <c r="AB41" i="2"/>
  <c r="AB40" i="2"/>
  <c r="AB49" i="3" s="1"/>
  <c r="AB38" i="2"/>
  <c r="W60" i="2"/>
  <c r="W88" i="3" s="1"/>
  <c r="W59" i="2"/>
  <c r="W87" i="3" s="1"/>
  <c r="W56" i="2"/>
  <c r="W82" i="3" s="1"/>
  <c r="W55" i="2"/>
  <c r="W81" i="3" s="1"/>
  <c r="W52" i="2"/>
  <c r="W70" i="3" s="1"/>
  <c r="W71" i="3" s="1"/>
  <c r="W51" i="2"/>
  <c r="W50" i="2"/>
  <c r="W48" i="2"/>
  <c r="W67" i="3" s="1"/>
  <c r="W47" i="2"/>
  <c r="W64" i="3" s="1"/>
  <c r="W45" i="2"/>
  <c r="W61" i="3" s="1"/>
  <c r="W44" i="2"/>
  <c r="W58" i="3" s="1"/>
  <c r="W43" i="2"/>
  <c r="W41" i="2"/>
  <c r="W40" i="2"/>
  <c r="W49" i="3" s="1"/>
  <c r="W38" i="2"/>
  <c r="W37" i="2"/>
  <c r="W39" i="3" s="1"/>
  <c r="W36" i="2"/>
  <c r="W38" i="3" s="1"/>
  <c r="W14" i="3" l="1"/>
  <c r="R29" i="3"/>
  <c r="AB59" i="3"/>
  <c r="AH19" i="3"/>
  <c r="AB68" i="3"/>
  <c r="AB24" i="3"/>
  <c r="R14" i="3"/>
  <c r="W15" i="3" s="1"/>
  <c r="R32" i="3"/>
  <c r="AB62" i="3"/>
  <c r="W62" i="3"/>
  <c r="U20" i="3"/>
  <c r="AB71" i="3"/>
  <c r="W40" i="3"/>
  <c r="W41" i="3" s="1"/>
  <c r="W29" i="3"/>
  <c r="W30" i="3" s="1"/>
  <c r="W50" i="3"/>
  <c r="AB29" i="3"/>
  <c r="AG30" i="3" s="1"/>
  <c r="R33" i="3"/>
  <c r="AB50" i="3"/>
  <c r="AG9" i="3"/>
  <c r="R19" i="3"/>
  <c r="AG23" i="3"/>
  <c r="AG24" i="3" s="1"/>
  <c r="W32" i="3"/>
  <c r="W65" i="3"/>
  <c r="AB65" i="3"/>
  <c r="AG14" i="3"/>
  <c r="W19" i="3"/>
  <c r="R24" i="3"/>
  <c r="W25" i="3" s="1"/>
  <c r="W68" i="3"/>
  <c r="AB40" i="3"/>
  <c r="AB41" i="3" s="1"/>
  <c r="W33" i="3"/>
  <c r="W59" i="3"/>
  <c r="AB33" i="3"/>
  <c r="AA30" i="3"/>
  <c r="AB32" i="3"/>
  <c r="R9" i="3"/>
  <c r="R10" i="3" s="1"/>
  <c r="AB14" i="3"/>
  <c r="AB15" i="3" s="1"/>
  <c r="R62" i="3"/>
  <c r="Z30" i="3"/>
  <c r="AB9" i="3"/>
  <c r="AB10" i="3" s="1"/>
  <c r="AB19" i="3"/>
  <c r="AB20" i="3" s="1"/>
  <c r="X41" i="3"/>
  <c r="V41" i="3"/>
  <c r="V25" i="3"/>
  <c r="Q41" i="3"/>
  <c r="AF30" i="3"/>
  <c r="AE10" i="3"/>
  <c r="AG58" i="3"/>
  <c r="AD34" i="3"/>
  <c r="AD51" i="3" s="1"/>
  <c r="N10" i="3"/>
  <c r="Z25" i="3"/>
  <c r="AC20" i="3"/>
  <c r="X34" i="3"/>
  <c r="P15" i="3"/>
  <c r="K34" i="3"/>
  <c r="K42" i="3" s="1"/>
  <c r="O30" i="3"/>
  <c r="AH30" i="3"/>
  <c r="N30" i="3"/>
  <c r="N41" i="3"/>
  <c r="T30" i="3"/>
  <c r="Y10" i="3"/>
  <c r="X10" i="3"/>
  <c r="AE41" i="3"/>
  <c r="S41" i="3"/>
  <c r="Q15" i="3"/>
  <c r="AH40" i="3"/>
  <c r="Y30" i="3"/>
  <c r="S30" i="3"/>
  <c r="L34" i="3"/>
  <c r="L72" i="3" s="1"/>
  <c r="U25" i="3"/>
  <c r="V10" i="3"/>
  <c r="Y20" i="3"/>
  <c r="N25" i="3"/>
  <c r="X20" i="3"/>
  <c r="S34" i="3"/>
  <c r="R30" i="3"/>
  <c r="S25" i="3"/>
  <c r="Q30" i="3"/>
  <c r="AE30" i="3"/>
  <c r="U34" i="3"/>
  <c r="U72" i="3" s="1"/>
  <c r="AA10" i="3"/>
  <c r="O15" i="3"/>
  <c r="Y15" i="3"/>
  <c r="Y41" i="3"/>
  <c r="AG19" i="3"/>
  <c r="AE15" i="3"/>
  <c r="Q25" i="3"/>
  <c r="N15" i="3"/>
  <c r="M34" i="3"/>
  <c r="AC41" i="3"/>
  <c r="T20" i="3"/>
  <c r="P34" i="3"/>
  <c r="S10" i="3"/>
  <c r="AG40" i="3"/>
  <c r="J34" i="3"/>
  <c r="J42" i="3" s="1"/>
  <c r="N20" i="3"/>
  <c r="O25" i="3"/>
  <c r="V20" i="3"/>
  <c r="O34" i="3"/>
  <c r="O42" i="3" s="1"/>
  <c r="T15" i="3"/>
  <c r="Y34" i="3"/>
  <c r="P20" i="3"/>
  <c r="I34" i="3"/>
  <c r="AD20" i="3"/>
  <c r="AD25" i="3"/>
  <c r="AC15" i="3"/>
  <c r="U10" i="3"/>
  <c r="AE34" i="3"/>
  <c r="AA34" i="3"/>
  <c r="AA44" i="3" s="1"/>
  <c r="AA53" i="3" s="1"/>
  <c r="V15" i="3"/>
  <c r="T25" i="3"/>
  <c r="AB25" i="3"/>
  <c r="X30" i="3"/>
  <c r="P30" i="3"/>
  <c r="U15" i="3"/>
  <c r="P25" i="3"/>
  <c r="V34" i="3"/>
  <c r="V44" i="3" s="1"/>
  <c r="V53" i="3" s="1"/>
  <c r="AA25" i="3"/>
  <c r="S15" i="3"/>
  <c r="X25" i="3"/>
  <c r="T34" i="3"/>
  <c r="Q20" i="3"/>
  <c r="AD15" i="3"/>
  <c r="U30" i="3"/>
  <c r="O10" i="3"/>
  <c r="Z20" i="3"/>
  <c r="AH7" i="3"/>
  <c r="AG32" i="3"/>
  <c r="AD30" i="3"/>
  <c r="Z34" i="3"/>
  <c r="AH13" i="3"/>
  <c r="AH14" i="3" s="1"/>
  <c r="AC25" i="3"/>
  <c r="N34" i="3"/>
  <c r="AA41" i="3"/>
  <c r="AE20" i="3"/>
  <c r="Y25" i="3"/>
  <c r="AD41" i="3"/>
  <c r="O41" i="3"/>
  <c r="R41" i="3"/>
  <c r="AA15" i="3"/>
  <c r="P10" i="3"/>
  <c r="AC10" i="3"/>
  <c r="AE25" i="3"/>
  <c r="Q10" i="3"/>
  <c r="AA20" i="3"/>
  <c r="X15" i="3"/>
  <c r="S20" i="3"/>
  <c r="T41" i="3"/>
  <c r="AH23" i="3"/>
  <c r="AH24" i="3" s="1"/>
  <c r="AC30" i="3"/>
  <c r="O20" i="3"/>
  <c r="P41" i="3"/>
  <c r="Z10" i="3"/>
  <c r="T10" i="3"/>
  <c r="U41" i="3"/>
  <c r="AF33" i="3"/>
  <c r="Z15" i="3"/>
  <c r="Z41" i="3"/>
  <c r="V30" i="3"/>
  <c r="AC34" i="3"/>
  <c r="I4" i="5" s="1"/>
  <c r="Q34" i="3"/>
  <c r="AE34" i="2"/>
  <c r="R29" i="6" a="1"/>
  <c r="N47" i="6" a="1"/>
  <c r="H41" i="6" a="1"/>
  <c r="AB18" i="6" a="1"/>
  <c r="Q43" i="6" a="1"/>
  <c r="L40" i="6" a="1"/>
  <c r="H40" i="6" a="1"/>
  <c r="O46" i="6" a="1"/>
  <c r="D47" i="6" a="1"/>
  <c r="AB17" i="6" a="1"/>
  <c r="K43" i="6" a="1"/>
  <c r="K40" i="6" a="1"/>
  <c r="E44" i="6" a="1"/>
  <c r="AA18" i="6" a="1"/>
  <c r="P43" i="6" a="1"/>
  <c r="O42" i="6" a="1"/>
  <c r="I42" i="6" a="1"/>
  <c r="Y14" i="6" a="1"/>
  <c r="H42" i="6" a="1"/>
  <c r="X14" i="6" a="1"/>
  <c r="H47" i="6" a="1"/>
  <c r="AA15" i="6" a="1"/>
  <c r="Z17" i="6" a="1"/>
  <c r="P47" i="6" a="1"/>
  <c r="C44" i="6" a="1"/>
  <c r="L43" i="6" a="1"/>
  <c r="AB13" i="6" a="1"/>
  <c r="AC20" i="6" a="1"/>
  <c r="P45" i="6" a="1"/>
  <c r="D45" i="6" a="1"/>
  <c r="AB16" i="6" a="1"/>
  <c r="L42" i="6" a="1"/>
  <c r="P40" i="6" a="1"/>
  <c r="E40" i="6" a="1"/>
  <c r="AA17" i="6" a="1"/>
  <c r="Q42" i="6" a="1"/>
  <c r="I41" i="6" a="1"/>
  <c r="I39" i="6" a="1"/>
  <c r="Y13" i="6" a="1"/>
  <c r="H39" i="6" a="1"/>
  <c r="X13" i="6" a="1"/>
  <c r="AC19" i="6" a="1"/>
  <c r="Q44" i="6" a="1"/>
  <c r="D43" i="6" a="1"/>
  <c r="AB15" i="6" a="1"/>
  <c r="M41" i="6" a="1"/>
  <c r="J29" i="6"/>
  <c r="Z19" i="6" a="1"/>
  <c r="AA16" i="6" a="1"/>
  <c r="K42" i="6" a="1"/>
  <c r="H46" i="6"/>
  <c r="D46" i="6" a="1"/>
  <c r="Y11" i="6" a="1"/>
  <c r="C46" i="6" a="1"/>
  <c r="X11" i="6" a="1"/>
  <c r="K44" i="6" a="1"/>
  <c r="D41" i="6" a="1"/>
  <c r="AB14" i="6" a="1"/>
  <c r="N40" i="6" a="1"/>
  <c r="Z16" i="6" a="1"/>
  <c r="L41" i="6" a="1"/>
  <c r="D44" i="6" a="1"/>
  <c r="O47" i="6" a="1"/>
  <c r="D39" i="6" a="1"/>
  <c r="O39" i="6" a="1"/>
  <c r="AA14" i="6" a="1"/>
  <c r="Q46" i="6" a="1"/>
  <c r="AC18" i="6" a="1"/>
  <c r="AC17" i="6" a="1"/>
  <c r="AC16" i="6" a="1"/>
  <c r="M42" i="6" a="1"/>
  <c r="N44" i="6" a="1"/>
  <c r="AB11" i="6" a="1"/>
  <c r="C41" i="6" a="1"/>
  <c r="I40" i="6" a="1"/>
  <c r="Z11" i="6" a="1"/>
  <c r="AA13" i="6" a="1"/>
  <c r="N39" i="6" a="1"/>
  <c r="O43" i="6" a="1"/>
  <c r="D40" i="6" a="1"/>
  <c r="K46" i="6" a="1"/>
  <c r="C40" i="6" a="1"/>
  <c r="Q45" i="6" a="1"/>
  <c r="N41" i="6" a="1"/>
  <c r="N43" i="6" a="1"/>
  <c r="Q29" i="6" a="1"/>
  <c r="I46" i="6"/>
  <c r="C47" i="6" a="1"/>
  <c r="M45" i="6" a="1"/>
  <c r="AA11" i="6" a="1"/>
  <c r="E46" i="6" a="1"/>
  <c r="M39" i="6" a="1"/>
  <c r="Y20" i="6" a="1"/>
  <c r="L45" i="6" a="1"/>
  <c r="X20" i="6" a="1"/>
  <c r="K45" i="6" a="1"/>
  <c r="Q39" i="6" a="1"/>
  <c r="L39" i="6" a="1"/>
  <c r="M43" i="6" a="1"/>
  <c r="M40" i="6" a="1"/>
  <c r="P46" i="6" a="1"/>
  <c r="AC15" i="6" a="1"/>
  <c r="AC14" i="6" a="1"/>
  <c r="O40" i="6" a="1"/>
  <c r="O41" i="6" a="1"/>
  <c r="M47" i="6" a="1"/>
  <c r="Z18" i="6" a="1"/>
  <c r="C45" i="6" a="1"/>
  <c r="K41" i="6" a="1"/>
  <c r="P29" i="6" a="1"/>
  <c r="E42" i="6" a="1"/>
  <c r="Q40" i="6" a="1"/>
  <c r="Y19" i="6" a="1"/>
  <c r="M44" i="6" a="1"/>
  <c r="X19" i="6" a="1"/>
  <c r="L44" i="6" a="1"/>
  <c r="Z13" i="6" a="1"/>
  <c r="C43" i="6" a="1"/>
  <c r="P41" i="6" a="1"/>
  <c r="L47" i="6" a="1"/>
  <c r="Z20" i="6" a="1"/>
  <c r="Y18" i="6" a="1"/>
  <c r="X18" i="6" a="1"/>
  <c r="Z15" i="6" a="1"/>
  <c r="Q47" i="6" a="1"/>
  <c r="AC13" i="6" a="1"/>
  <c r="P39" i="6" a="1"/>
  <c r="E41" i="6" a="1"/>
  <c r="N46" i="6" a="1"/>
  <c r="AC11" i="6" a="1"/>
  <c r="I47" i="6" a="1"/>
  <c r="AB20" i="6" a="1"/>
  <c r="O45" i="6" a="1"/>
  <c r="L46" i="6" a="1"/>
  <c r="C39" i="6" a="1"/>
  <c r="E45" i="6" a="1"/>
  <c r="M46" i="6" a="1"/>
  <c r="Z14" i="6" a="1"/>
  <c r="I44" i="6" a="1"/>
  <c r="Y17" i="6" a="1"/>
  <c r="K39" i="6" a="1"/>
  <c r="X17" i="6" a="1"/>
  <c r="N42" i="6" a="1"/>
  <c r="H44" i="6" a="1"/>
  <c r="AB19" i="6" a="1"/>
  <c r="P44" i="6" a="1"/>
  <c r="P42" i="6" a="1"/>
  <c r="H43" i="6" a="1"/>
  <c r="AA20" i="6" a="1"/>
  <c r="N45" i="6" a="1"/>
  <c r="K47" i="6" a="1"/>
  <c r="E39" i="6" a="1"/>
  <c r="Y16" i="6" a="1"/>
  <c r="E43" i="6" a="1"/>
  <c r="X16" i="6" a="1"/>
  <c r="E47" i="6" a="1"/>
  <c r="AA19" i="6" a="1"/>
  <c r="O44" i="6" a="1"/>
  <c r="Q41" i="6" a="1"/>
  <c r="I45" i="6" a="1"/>
  <c r="Y15" i="6" a="1"/>
  <c r="H45" i="6" a="1"/>
  <c r="X15" i="6" a="1"/>
  <c r="I43" i="6" a="1"/>
  <c r="D42" i="6" a="1"/>
  <c r="C42" i="6" a="1"/>
  <c r="R15" i="3" l="1"/>
  <c r="AB34" i="3"/>
  <c r="R34" i="3"/>
  <c r="R35" i="3" s="1"/>
  <c r="AB30" i="3"/>
  <c r="X42" i="3"/>
  <c r="H4" i="5"/>
  <c r="S72" i="3"/>
  <c r="G4" i="5"/>
  <c r="G18" i="5" s="1"/>
  <c r="W20" i="3"/>
  <c r="AB42" i="3"/>
  <c r="W10" i="3"/>
  <c r="W34" i="3"/>
  <c r="W44" i="3" s="1"/>
  <c r="W53" i="3" s="1"/>
  <c r="R51" i="3"/>
  <c r="R44" i="3"/>
  <c r="R53" i="3" s="1"/>
  <c r="R55" i="3" s="1"/>
  <c r="AH41" i="3"/>
  <c r="AI40" i="3"/>
  <c r="R20" i="3"/>
  <c r="AG33" i="3"/>
  <c r="R25" i="3"/>
  <c r="AH20" i="3"/>
  <c r="AI19" i="3"/>
  <c r="AJ19" i="3" s="1"/>
  <c r="AH25" i="3"/>
  <c r="AI24" i="3"/>
  <c r="AJ24" i="3" s="1"/>
  <c r="X44" i="3"/>
  <c r="X53" i="3" s="1"/>
  <c r="X63" i="3" s="1"/>
  <c r="U51" i="3"/>
  <c r="X51" i="3"/>
  <c r="X72" i="3"/>
  <c r="AH15" i="3"/>
  <c r="AI14" i="3"/>
  <c r="AJ14" i="3" s="1"/>
  <c r="V75" i="3"/>
  <c r="V66" i="3"/>
  <c r="V69" i="3"/>
  <c r="V60" i="3"/>
  <c r="V63" i="3"/>
  <c r="AH58" i="3"/>
  <c r="AH59" i="3" s="1"/>
  <c r="AG59" i="3"/>
  <c r="K44" i="3"/>
  <c r="K53" i="3" s="1"/>
  <c r="K51" i="3"/>
  <c r="O72" i="3"/>
  <c r="AA75" i="3"/>
  <c r="AA60" i="3"/>
  <c r="AA63" i="3"/>
  <c r="AA66" i="3"/>
  <c r="AA69" i="3"/>
  <c r="AD42" i="3"/>
  <c r="K72" i="3"/>
  <c r="AD44" i="3"/>
  <c r="AD53" i="3" s="1"/>
  <c r="AD55" i="3" s="1"/>
  <c r="AD72" i="3"/>
  <c r="S51" i="3"/>
  <c r="S42" i="3"/>
  <c r="X35" i="3"/>
  <c r="L51" i="3"/>
  <c r="L42" i="3"/>
  <c r="V35" i="3"/>
  <c r="AB51" i="3"/>
  <c r="AA35" i="3"/>
  <c r="AB44" i="3"/>
  <c r="AB53" i="3" s="1"/>
  <c r="M42" i="3"/>
  <c r="R72" i="3"/>
  <c r="R42" i="3"/>
  <c r="J44" i="3"/>
  <c r="J46" i="3" s="1"/>
  <c r="T44" i="3"/>
  <c r="T53" i="3" s="1"/>
  <c r="T55" i="3" s="1"/>
  <c r="L44" i="3"/>
  <c r="S44" i="3"/>
  <c r="S53" i="3" s="1"/>
  <c r="Y42" i="3"/>
  <c r="V72" i="3"/>
  <c r="P72" i="3"/>
  <c r="V42" i="3"/>
  <c r="AE72" i="3"/>
  <c r="O51" i="3"/>
  <c r="U44" i="3"/>
  <c r="U53" i="3" s="1"/>
  <c r="AA55" i="3"/>
  <c r="AA54" i="3"/>
  <c r="M72" i="3"/>
  <c r="S35" i="3"/>
  <c r="G5" i="5" s="1"/>
  <c r="T72" i="3"/>
  <c r="M51" i="3"/>
  <c r="W35" i="3"/>
  <c r="J51" i="3"/>
  <c r="V55" i="3"/>
  <c r="J72" i="3"/>
  <c r="P35" i="3"/>
  <c r="M44" i="3"/>
  <c r="I51" i="3"/>
  <c r="P51" i="3"/>
  <c r="P44" i="3"/>
  <c r="P53" i="3" s="1"/>
  <c r="AE42" i="3"/>
  <c r="U42" i="3"/>
  <c r="O35" i="3"/>
  <c r="U35" i="3"/>
  <c r="I72" i="3"/>
  <c r="I42" i="3"/>
  <c r="AB72" i="3"/>
  <c r="AE35" i="3"/>
  <c r="AE51" i="3"/>
  <c r="I44" i="3"/>
  <c r="I46" i="3" s="1"/>
  <c r="P42" i="3"/>
  <c r="AD35" i="3"/>
  <c r="T51" i="3"/>
  <c r="AA72" i="3"/>
  <c r="T35" i="3"/>
  <c r="AE44" i="3"/>
  <c r="AE53" i="3" s="1"/>
  <c r="Y51" i="3"/>
  <c r="AA42" i="3"/>
  <c r="Y44" i="3"/>
  <c r="Y53" i="3" s="1"/>
  <c r="Y72" i="3"/>
  <c r="AA51" i="3"/>
  <c r="V51" i="3"/>
  <c r="O44" i="3"/>
  <c r="O53" i="3" s="1"/>
  <c r="Y35" i="3"/>
  <c r="T42" i="3"/>
  <c r="Q44" i="3"/>
  <c r="Q53" i="3" s="1"/>
  <c r="Q35" i="3"/>
  <c r="Q42" i="3"/>
  <c r="Q51" i="3"/>
  <c r="Q72" i="3"/>
  <c r="AA45" i="3"/>
  <c r="AA46" i="3"/>
  <c r="AH33" i="3"/>
  <c r="N44" i="3"/>
  <c r="N35" i="3"/>
  <c r="N72" i="3"/>
  <c r="N42" i="3"/>
  <c r="N51" i="3"/>
  <c r="Z44" i="3"/>
  <c r="Z35" i="3"/>
  <c r="Z42" i="3"/>
  <c r="Z51" i="3"/>
  <c r="Z72" i="3"/>
  <c r="V46" i="3"/>
  <c r="AH32" i="3"/>
  <c r="AH9" i="3"/>
  <c r="AC44" i="3"/>
  <c r="AC53" i="3" s="1"/>
  <c r="AC42" i="3"/>
  <c r="AC51" i="3"/>
  <c r="AC72" i="3"/>
  <c r="AC35" i="3"/>
  <c r="E47" i="6"/>
  <c r="N42" i="6"/>
  <c r="M43" i="6"/>
  <c r="L44" i="6"/>
  <c r="K45" i="6"/>
  <c r="Q45" i="6"/>
  <c r="P46" i="6"/>
  <c r="O47" i="6"/>
  <c r="X11" i="6"/>
  <c r="X13" i="6"/>
  <c r="X14" i="6"/>
  <c r="X15" i="6"/>
  <c r="X16" i="6"/>
  <c r="X17" i="6"/>
  <c r="X18" i="6"/>
  <c r="X19" i="6"/>
  <c r="X20" i="6"/>
  <c r="C40" i="6"/>
  <c r="C42" i="6"/>
  <c r="C44" i="6"/>
  <c r="C46" i="6"/>
  <c r="H39" i="6"/>
  <c r="H42" i="6"/>
  <c r="H45" i="6"/>
  <c r="E43" i="6"/>
  <c r="K39" i="6"/>
  <c r="L39" i="6"/>
  <c r="M44" i="6"/>
  <c r="L45" i="6"/>
  <c r="K46" i="6"/>
  <c r="Q46" i="6"/>
  <c r="P47" i="6"/>
  <c r="Y11" i="6"/>
  <c r="Y13" i="6"/>
  <c r="Y14" i="6"/>
  <c r="Y15" i="6"/>
  <c r="Y16" i="6"/>
  <c r="Y17" i="6"/>
  <c r="Y18" i="6"/>
  <c r="Y19" i="6"/>
  <c r="Y20" i="6"/>
  <c r="D40" i="6"/>
  <c r="D42" i="6"/>
  <c r="D44" i="6"/>
  <c r="D46" i="6"/>
  <c r="F46" i="6" s="1"/>
  <c r="I39" i="6"/>
  <c r="I42" i="6"/>
  <c r="I45" i="6"/>
  <c r="E39" i="6"/>
  <c r="I44" i="6"/>
  <c r="Q39" i="6"/>
  <c r="Q40" i="6"/>
  <c r="M39" i="6"/>
  <c r="O43" i="6"/>
  <c r="Q47" i="6"/>
  <c r="Z17" i="6"/>
  <c r="I41" i="6"/>
  <c r="O42" i="6"/>
  <c r="Q41" i="6"/>
  <c r="K47" i="6"/>
  <c r="Z14" i="6"/>
  <c r="Z20" i="6"/>
  <c r="E42" i="6"/>
  <c r="E46" i="6"/>
  <c r="N39" i="6"/>
  <c r="M40" i="6"/>
  <c r="L41" i="6"/>
  <c r="K42" i="6"/>
  <c r="Q42" i="6"/>
  <c r="P43" i="6"/>
  <c r="O44" i="6"/>
  <c r="N45" i="6"/>
  <c r="M46" i="6"/>
  <c r="L47" i="6"/>
  <c r="P29" i="6"/>
  <c r="AA11" i="6"/>
  <c r="AA13" i="6"/>
  <c r="AA14" i="6"/>
  <c r="AA15" i="6"/>
  <c r="AA16" i="6"/>
  <c r="AA17" i="6"/>
  <c r="AA18" i="6"/>
  <c r="AA19" i="6"/>
  <c r="AA20" i="6"/>
  <c r="E45" i="6"/>
  <c r="P41" i="6"/>
  <c r="K41" i="6"/>
  <c r="M45" i="6"/>
  <c r="Z11" i="6"/>
  <c r="Z15" i="6"/>
  <c r="Z16" i="6"/>
  <c r="Z19" i="6"/>
  <c r="E40" i="6"/>
  <c r="E44" i="6"/>
  <c r="H40" i="6"/>
  <c r="H43" i="6"/>
  <c r="C39" i="6"/>
  <c r="C43" i="6"/>
  <c r="C45" i="6"/>
  <c r="C47" i="6"/>
  <c r="I40" i="6"/>
  <c r="I43" i="6"/>
  <c r="H47" i="6"/>
  <c r="P40" i="6"/>
  <c r="K40" i="6"/>
  <c r="L40" i="6"/>
  <c r="P42" i="6"/>
  <c r="L46" i="6"/>
  <c r="Z13" i="6"/>
  <c r="Z18" i="6"/>
  <c r="C41" i="6"/>
  <c r="O39" i="6"/>
  <c r="N40" i="6"/>
  <c r="M41" i="6"/>
  <c r="L42" i="6"/>
  <c r="K43" i="6"/>
  <c r="Q43" i="6"/>
  <c r="P44" i="6"/>
  <c r="O45" i="6"/>
  <c r="N46" i="6"/>
  <c r="M47" i="6"/>
  <c r="Q29" i="6"/>
  <c r="AB11" i="6"/>
  <c r="AB13" i="6"/>
  <c r="AB14" i="6"/>
  <c r="AB15" i="6"/>
  <c r="AB16" i="6"/>
  <c r="AB17" i="6"/>
  <c r="AB18" i="6"/>
  <c r="AB19" i="6"/>
  <c r="AB20" i="6"/>
  <c r="E41" i="6"/>
  <c r="O41" i="6"/>
  <c r="N43" i="6"/>
  <c r="N44" i="6"/>
  <c r="D39" i="6"/>
  <c r="D41" i="6"/>
  <c r="D43" i="6"/>
  <c r="D45" i="6"/>
  <c r="D47" i="6"/>
  <c r="H41" i="6"/>
  <c r="H44" i="6"/>
  <c r="I47" i="6"/>
  <c r="P39" i="6"/>
  <c r="O40" i="6"/>
  <c r="N41" i="6"/>
  <c r="M42" i="6"/>
  <c r="L43" i="6"/>
  <c r="K44" i="6"/>
  <c r="Q44" i="6"/>
  <c r="P45" i="6"/>
  <c r="O46" i="6"/>
  <c r="N47" i="6"/>
  <c r="R29" i="6"/>
  <c r="AC11" i="6"/>
  <c r="AC13" i="6"/>
  <c r="AC14" i="6"/>
  <c r="AC15" i="6"/>
  <c r="AC16" i="6"/>
  <c r="AC17" i="6"/>
  <c r="AC18" i="6"/>
  <c r="AC19" i="6"/>
  <c r="AC20" i="6"/>
  <c r="W42" i="3" l="1"/>
  <c r="R46" i="3"/>
  <c r="K46" i="3"/>
  <c r="W51" i="3"/>
  <c r="W72" i="3"/>
  <c r="AB35" i="3"/>
  <c r="R60" i="3"/>
  <c r="R66" i="3"/>
  <c r="R69" i="3"/>
  <c r="R75" i="3"/>
  <c r="R77" i="3" s="1"/>
  <c r="R63" i="3"/>
  <c r="R45" i="3"/>
  <c r="X55" i="3"/>
  <c r="X60" i="3"/>
  <c r="X69" i="3"/>
  <c r="X75" i="3"/>
  <c r="AJ40" i="3"/>
  <c r="X66" i="3"/>
  <c r="V77" i="3"/>
  <c r="AA77" i="3"/>
  <c r="AA76" i="3"/>
  <c r="X46" i="3"/>
  <c r="J53" i="3"/>
  <c r="J63" i="3" s="1"/>
  <c r="AH10" i="3"/>
  <c r="AI9" i="3"/>
  <c r="Y75" i="3"/>
  <c r="Y69" i="3"/>
  <c r="Y60" i="3"/>
  <c r="Y63" i="3"/>
  <c r="Y66" i="3"/>
  <c r="AD75" i="3"/>
  <c r="AD69" i="3"/>
  <c r="AD60" i="3"/>
  <c r="AD63" i="3"/>
  <c r="AD66" i="3"/>
  <c r="AC75" i="3"/>
  <c r="I7" i="5" s="1"/>
  <c r="AC60" i="3"/>
  <c r="AC69" i="3"/>
  <c r="AC66" i="3"/>
  <c r="AC63" i="3"/>
  <c r="AE75" i="3"/>
  <c r="AE66" i="3"/>
  <c r="AE60" i="3"/>
  <c r="AE69" i="3"/>
  <c r="AE63" i="3"/>
  <c r="AD46" i="3"/>
  <c r="Q75" i="3"/>
  <c r="Q60" i="3"/>
  <c r="Q66" i="3"/>
  <c r="Q63" i="3"/>
  <c r="Q69" i="3"/>
  <c r="K55" i="3"/>
  <c r="K75" i="3"/>
  <c r="K77" i="3" s="1"/>
  <c r="K60" i="3"/>
  <c r="K63" i="3"/>
  <c r="K69" i="3"/>
  <c r="K66" i="3"/>
  <c r="W75" i="3"/>
  <c r="W60" i="3"/>
  <c r="W63" i="3"/>
  <c r="W66" i="3"/>
  <c r="W69" i="3"/>
  <c r="U75" i="3"/>
  <c r="U69" i="3"/>
  <c r="U63" i="3"/>
  <c r="U66" i="3"/>
  <c r="U60" i="3"/>
  <c r="AB55" i="3"/>
  <c r="AB75" i="3"/>
  <c r="AB66" i="3"/>
  <c r="AB60" i="3"/>
  <c r="AB69" i="3"/>
  <c r="AB63" i="3"/>
  <c r="T54" i="3"/>
  <c r="O75" i="3"/>
  <c r="O63" i="3"/>
  <c r="O66" i="3"/>
  <c r="O60" i="3"/>
  <c r="O69" i="3"/>
  <c r="X54" i="3"/>
  <c r="S75" i="3"/>
  <c r="G7" i="5" s="1"/>
  <c r="S60" i="3"/>
  <c r="S66" i="3"/>
  <c r="S69" i="3"/>
  <c r="S63" i="3"/>
  <c r="U55" i="3"/>
  <c r="T75" i="3"/>
  <c r="T69" i="3"/>
  <c r="T60" i="3"/>
  <c r="T66" i="3"/>
  <c r="T63" i="3"/>
  <c r="U46" i="3"/>
  <c r="J60" i="3"/>
  <c r="I53" i="3"/>
  <c r="P75" i="3"/>
  <c r="P63" i="3"/>
  <c r="P60" i="3"/>
  <c r="P69" i="3"/>
  <c r="P66" i="3"/>
  <c r="V45" i="3"/>
  <c r="W45" i="3"/>
  <c r="W46" i="3"/>
  <c r="AB54" i="3"/>
  <c r="AB46" i="3"/>
  <c r="AB45" i="3"/>
  <c r="U54" i="3"/>
  <c r="T46" i="3"/>
  <c r="X45" i="3"/>
  <c r="T45" i="3"/>
  <c r="S55" i="3"/>
  <c r="S46" i="3"/>
  <c r="P46" i="3"/>
  <c r="P45" i="3"/>
  <c r="L46" i="3"/>
  <c r="L53" i="3"/>
  <c r="P55" i="3"/>
  <c r="P54" i="3"/>
  <c r="Y55" i="3"/>
  <c r="Y54" i="3"/>
  <c r="AC55" i="3"/>
  <c r="AC54" i="3"/>
  <c r="Y45" i="3"/>
  <c r="Q55" i="3"/>
  <c r="AD45" i="3"/>
  <c r="W54" i="3"/>
  <c r="W55" i="3"/>
  <c r="U45" i="3"/>
  <c r="O55" i="3"/>
  <c r="V54" i="3"/>
  <c r="AD54" i="3"/>
  <c r="AE55" i="3"/>
  <c r="M53" i="3"/>
  <c r="M46" i="3"/>
  <c r="AE45" i="3"/>
  <c r="Z53" i="3"/>
  <c r="S45" i="3"/>
  <c r="N53" i="3"/>
  <c r="AE46" i="3"/>
  <c r="O46" i="3"/>
  <c r="Y46" i="3"/>
  <c r="O45" i="3"/>
  <c r="Q46" i="3"/>
  <c r="Q45" i="3"/>
  <c r="Z45" i="3"/>
  <c r="Z46" i="3"/>
  <c r="N45" i="3"/>
  <c r="N46" i="3"/>
  <c r="AC46" i="3"/>
  <c r="AC45" i="3"/>
  <c r="AC24" i="6"/>
  <c r="G46" i="6"/>
  <c r="F47" i="6"/>
  <c r="J75" i="3" l="1"/>
  <c r="J77" i="3" s="1"/>
  <c r="J66" i="3"/>
  <c r="X77" i="3"/>
  <c r="H7" i="5"/>
  <c r="J55" i="3"/>
  <c r="J4" i="5"/>
  <c r="AC77" i="3"/>
  <c r="AC76" i="3"/>
  <c r="S77" i="3"/>
  <c r="AE77" i="3"/>
  <c r="O77" i="3"/>
  <c r="O76" i="3"/>
  <c r="Q77" i="3"/>
  <c r="Q76" i="3"/>
  <c r="W77" i="3"/>
  <c r="W76" i="3"/>
  <c r="AD77" i="3"/>
  <c r="AD76" i="3"/>
  <c r="X76" i="3"/>
  <c r="T77" i="3"/>
  <c r="T76" i="3"/>
  <c r="U76" i="3"/>
  <c r="U77" i="3"/>
  <c r="O54" i="3"/>
  <c r="J69" i="3"/>
  <c r="Y77" i="3"/>
  <c r="Y76" i="3"/>
  <c r="V76" i="3"/>
  <c r="AB77" i="3"/>
  <c r="AB76" i="3"/>
  <c r="P77" i="3"/>
  <c r="P76" i="3"/>
  <c r="AI34" i="3"/>
  <c r="K4" i="5" s="1"/>
  <c r="AJ9" i="3"/>
  <c r="AJ34" i="3" s="1"/>
  <c r="L4" i="5" s="1"/>
  <c r="L55" i="3"/>
  <c r="L75" i="3"/>
  <c r="L77" i="3" s="1"/>
  <c r="L69" i="3"/>
  <c r="L60" i="3"/>
  <c r="L63" i="3"/>
  <c r="L66" i="3"/>
  <c r="N75" i="3"/>
  <c r="S76" i="3" s="1"/>
  <c r="G9" i="5" s="1"/>
  <c r="N60" i="3"/>
  <c r="N69" i="3"/>
  <c r="N63" i="3"/>
  <c r="N66" i="3"/>
  <c r="Z75" i="3"/>
  <c r="Z60" i="3"/>
  <c r="Z69" i="3"/>
  <c r="Z63" i="3"/>
  <c r="Z66" i="3"/>
  <c r="M75" i="3"/>
  <c r="M69" i="3"/>
  <c r="M63" i="3"/>
  <c r="M66" i="3"/>
  <c r="M60" i="3"/>
  <c r="I55" i="3"/>
  <c r="I75" i="3"/>
  <c r="I77" i="3" s="1"/>
  <c r="I63" i="3"/>
  <c r="I69" i="3"/>
  <c r="I60" i="3"/>
  <c r="I66" i="3"/>
  <c r="Q54" i="3"/>
  <c r="N55" i="3"/>
  <c r="N54" i="3"/>
  <c r="S54" i="3"/>
  <c r="Z55" i="3"/>
  <c r="Z54" i="3"/>
  <c r="M55" i="3"/>
  <c r="R54" i="3"/>
  <c r="AE54" i="3"/>
  <c r="G47" i="6"/>
  <c r="D60" i="6"/>
  <c r="E60" i="6"/>
  <c r="F60" i="6"/>
  <c r="G60" i="6"/>
  <c r="H60" i="6"/>
  <c r="I60" i="6"/>
  <c r="J60" i="6"/>
  <c r="K60" i="6"/>
  <c r="K59" i="6"/>
  <c r="J59" i="6"/>
  <c r="I59" i="6"/>
  <c r="H59" i="6"/>
  <c r="G59" i="6"/>
  <c r="F59" i="6"/>
  <c r="E59" i="6"/>
  <c r="D59" i="6"/>
  <c r="K58" i="6"/>
  <c r="J58" i="6"/>
  <c r="I58" i="6"/>
  <c r="H58" i="6"/>
  <c r="G58" i="6"/>
  <c r="F58" i="6"/>
  <c r="E58" i="6"/>
  <c r="D58" i="6"/>
  <c r="AI35" i="3" l="1"/>
  <c r="AI44" i="3"/>
  <c r="AI49" i="3"/>
  <c r="AI42" i="3"/>
  <c r="AJ35" i="3"/>
  <c r="AJ44" i="3"/>
  <c r="AJ49" i="3"/>
  <c r="AJ50" i="3" s="1"/>
  <c r="AJ42" i="3"/>
  <c r="M77" i="3"/>
  <c r="R76" i="3"/>
  <c r="Z76" i="3"/>
  <c r="Z77" i="3"/>
  <c r="AE76" i="3"/>
  <c r="N76" i="3"/>
  <c r="N77" i="3"/>
  <c r="J30" i="6"/>
  <c r="AJ53" i="3" l="1"/>
  <c r="AJ45" i="3"/>
  <c r="AJ46" i="3"/>
  <c r="AI46" i="3"/>
  <c r="AI53" i="3"/>
  <c r="K3" i="7"/>
  <c r="L3" i="7" s="1"/>
  <c r="M3" i="7" s="1"/>
  <c r="N3" i="7" s="1"/>
  <c r="C3" i="7"/>
  <c r="D3" i="7" s="1"/>
  <c r="E3" i="7" s="1"/>
  <c r="F3" i="7" s="1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3" i="2"/>
  <c r="I32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D62" i="6"/>
  <c r="D61" i="6"/>
  <c r="D57" i="6"/>
  <c r="D56" i="6"/>
  <c r="D55" i="6"/>
  <c r="D54" i="6"/>
  <c r="K53" i="6"/>
  <c r="J53" i="6"/>
  <c r="Q38" i="6"/>
  <c r="P38" i="6"/>
  <c r="D35" i="6"/>
  <c r="E35" i="6" s="1"/>
  <c r="F35" i="6" s="1"/>
  <c r="C35" i="6"/>
  <c r="B20" i="6"/>
  <c r="B19" i="6"/>
  <c r="B18" i="6"/>
  <c r="B17" i="6"/>
  <c r="B16" i="6"/>
  <c r="B15" i="6"/>
  <c r="B14" i="6"/>
  <c r="A14" i="6"/>
  <c r="A15" i="6" s="1"/>
  <c r="A16" i="6" s="1"/>
  <c r="A17" i="6" s="1"/>
  <c r="A18" i="6" s="1"/>
  <c r="A19" i="6" s="1"/>
  <c r="A20" i="6" s="1"/>
  <c r="A21" i="6" s="1"/>
  <c r="A22" i="6" s="1"/>
  <c r="B13" i="6"/>
  <c r="B11" i="6"/>
  <c r="AA9" i="6"/>
  <c r="AC9" i="6" s="1"/>
  <c r="Z9" i="6"/>
  <c r="AB9" i="6" s="1"/>
  <c r="V9" i="6"/>
  <c r="U9" i="6"/>
  <c r="O9" i="6"/>
  <c r="N9" i="6"/>
  <c r="L17" i="5"/>
  <c r="K17" i="5"/>
  <c r="J17" i="5"/>
  <c r="G17" i="5"/>
  <c r="H3" i="5"/>
  <c r="I3" i="5" s="1"/>
  <c r="I17" i="5" s="1"/>
  <c r="AG147" i="3"/>
  <c r="AF147" i="3"/>
  <c r="AD147" i="3"/>
  <c r="F3" i="3"/>
  <c r="F4" i="3" s="1"/>
  <c r="F3" i="2"/>
  <c r="G3" i="2" s="1"/>
  <c r="G4" i="2" s="1"/>
  <c r="H17" i="5" l="1"/>
  <c r="AI61" i="3"/>
  <c r="AI75" i="3"/>
  <c r="K7" i="5" s="1"/>
  <c r="AI55" i="3"/>
  <c r="AI67" i="3"/>
  <c r="AI58" i="3"/>
  <c r="AJ55" i="3"/>
  <c r="AJ58" i="3"/>
  <c r="AJ75" i="3"/>
  <c r="L7" i="5" s="1"/>
  <c r="AJ61" i="3"/>
  <c r="AJ62" i="3" s="1"/>
  <c r="AJ67" i="3"/>
  <c r="AJ54" i="3"/>
  <c r="X34" i="2"/>
  <c r="C10" i="5"/>
  <c r="C15" i="5" s="1"/>
  <c r="G3" i="3"/>
  <c r="R34" i="2"/>
  <c r="AA34" i="2"/>
  <c r="O34" i="2"/>
  <c r="P34" i="2"/>
  <c r="AB34" i="2"/>
  <c r="L34" i="2"/>
  <c r="N34" i="2"/>
  <c r="Z34" i="2"/>
  <c r="J34" i="2"/>
  <c r="V34" i="2"/>
  <c r="S34" i="2"/>
  <c r="K34" i="2"/>
  <c r="W34" i="2"/>
  <c r="U34" i="2"/>
  <c r="I34" i="2"/>
  <c r="T34" i="2"/>
  <c r="M34" i="2"/>
  <c r="Y34" i="2"/>
  <c r="Q34" i="2"/>
  <c r="AC34" i="2"/>
  <c r="I54" i="6"/>
  <c r="I55" i="6"/>
  <c r="I56" i="6"/>
  <c r="I57" i="6"/>
  <c r="I61" i="6"/>
  <c r="I62" i="6"/>
  <c r="J54" i="6"/>
  <c r="J55" i="6"/>
  <c r="J56" i="6"/>
  <c r="J57" i="6"/>
  <c r="J61" i="6"/>
  <c r="J62" i="6"/>
  <c r="E20" i="6"/>
  <c r="AC25" i="6"/>
  <c r="K54" i="6"/>
  <c r="K55" i="6"/>
  <c r="K56" i="6"/>
  <c r="K57" i="6"/>
  <c r="K61" i="6"/>
  <c r="K62" i="6"/>
  <c r="C19" i="6"/>
  <c r="J31" i="6"/>
  <c r="J32" i="6" s="1"/>
  <c r="P30" i="6"/>
  <c r="P31" i="6" s="1"/>
  <c r="P32" i="6" s="1"/>
  <c r="E54" i="6"/>
  <c r="E55" i="6"/>
  <c r="E56" i="6"/>
  <c r="E57" i="6"/>
  <c r="E61" i="6"/>
  <c r="E62" i="6"/>
  <c r="Z24" i="6"/>
  <c r="Q30" i="6"/>
  <c r="Q31" i="6" s="1"/>
  <c r="Q32" i="6" s="1"/>
  <c r="F54" i="6"/>
  <c r="F55" i="6"/>
  <c r="F56" i="6"/>
  <c r="F57" i="6"/>
  <c r="F61" i="6"/>
  <c r="F62" i="6"/>
  <c r="E11" i="6"/>
  <c r="R30" i="6"/>
  <c r="R31" i="6" s="1"/>
  <c r="R32" i="6" s="1"/>
  <c r="G54" i="6"/>
  <c r="G55" i="6"/>
  <c r="G56" i="6"/>
  <c r="G57" i="6"/>
  <c r="G61" i="6"/>
  <c r="G62" i="6"/>
  <c r="D11" i="6"/>
  <c r="H54" i="6"/>
  <c r="H55" i="6"/>
  <c r="H56" i="6"/>
  <c r="H57" i="6"/>
  <c r="H66" i="6" s="1"/>
  <c r="H68" i="6" s="1"/>
  <c r="H61" i="6"/>
  <c r="H62" i="6"/>
  <c r="D19" i="6"/>
  <c r="E19" i="6"/>
  <c r="D18" i="6"/>
  <c r="E18" i="6"/>
  <c r="E16" i="6"/>
  <c r="N16" i="6"/>
  <c r="C13" i="6"/>
  <c r="D13" i="6"/>
  <c r="E13" i="6"/>
  <c r="C11" i="6"/>
  <c r="O15" i="6"/>
  <c r="O13" i="6"/>
  <c r="F42" i="6"/>
  <c r="F15" i="6" s="1"/>
  <c r="F43" i="6"/>
  <c r="G43" i="6" s="1"/>
  <c r="G20" i="5"/>
  <c r="F4" i="2"/>
  <c r="N13" i="6"/>
  <c r="N15" i="6"/>
  <c r="N20" i="6"/>
  <c r="N18" i="6"/>
  <c r="N19" i="6"/>
  <c r="O18" i="6"/>
  <c r="O16" i="6"/>
  <c r="D15" i="6"/>
  <c r="N11" i="6"/>
  <c r="F41" i="6"/>
  <c r="F44" i="6"/>
  <c r="G44" i="6" s="1"/>
  <c r="F45" i="6"/>
  <c r="AF148" i="3"/>
  <c r="H20" i="5"/>
  <c r="H21" i="5"/>
  <c r="H3" i="2"/>
  <c r="AE147" i="3"/>
  <c r="AE148" i="3" s="1"/>
  <c r="I20" i="5"/>
  <c r="X25" i="6"/>
  <c r="D31" i="6" s="1"/>
  <c r="X24" i="6"/>
  <c r="D30" i="6" s="1"/>
  <c r="D29" i="6"/>
  <c r="D32" i="6"/>
  <c r="C14" i="6"/>
  <c r="N14" i="6"/>
  <c r="D14" i="6"/>
  <c r="O14" i="6"/>
  <c r="E14" i="6"/>
  <c r="G21" i="5"/>
  <c r="K8" i="5"/>
  <c r="L5" i="5"/>
  <c r="AD148" i="3"/>
  <c r="Y25" i="6"/>
  <c r="Y24" i="6"/>
  <c r="C17" i="6"/>
  <c r="E17" i="6"/>
  <c r="D17" i="6"/>
  <c r="N17" i="6"/>
  <c r="AA25" i="6"/>
  <c r="AA24" i="6"/>
  <c r="O17" i="6"/>
  <c r="F29" i="6"/>
  <c r="V29" i="6" s="1"/>
  <c r="Z29" i="6" s="1"/>
  <c r="AB25" i="6"/>
  <c r="F31" i="6" s="1"/>
  <c r="V31" i="6" s="1"/>
  <c r="Z31" i="6" s="1"/>
  <c r="AB24" i="6"/>
  <c r="F30" i="6" s="1"/>
  <c r="V30" i="6" s="1"/>
  <c r="Z30" i="6" s="1"/>
  <c r="F32" i="6"/>
  <c r="V32" i="6" s="1"/>
  <c r="Z32" i="6" s="1"/>
  <c r="G35" i="6"/>
  <c r="G19" i="6" s="1"/>
  <c r="C16" i="6"/>
  <c r="D16" i="6"/>
  <c r="F66" i="6"/>
  <c r="F68" i="6" s="1"/>
  <c r="I66" i="6"/>
  <c r="I68" i="6" s="1"/>
  <c r="E32" i="6"/>
  <c r="Z25" i="6"/>
  <c r="E31" i="6" s="1"/>
  <c r="C20" i="6"/>
  <c r="C15" i="6"/>
  <c r="D20" i="6"/>
  <c r="E15" i="6"/>
  <c r="C18" i="6"/>
  <c r="F39" i="6"/>
  <c r="G39" i="6" s="1"/>
  <c r="F40" i="6"/>
  <c r="G40" i="6" s="1"/>
  <c r="O19" i="6"/>
  <c r="O11" i="6"/>
  <c r="L9" i="5" l="1"/>
  <c r="L8" i="5"/>
  <c r="AJ68" i="3"/>
  <c r="AJ77" i="3"/>
  <c r="AJ76" i="3"/>
  <c r="AJ64" i="3"/>
  <c r="AJ59" i="3"/>
  <c r="AI64" i="3"/>
  <c r="AI59" i="3"/>
  <c r="AI77" i="3"/>
  <c r="G16" i="6"/>
  <c r="J66" i="6"/>
  <c r="J68" i="6" s="1"/>
  <c r="G4" i="3"/>
  <c r="H3" i="3"/>
  <c r="K66" i="6"/>
  <c r="K68" i="6" s="1"/>
  <c r="E66" i="6"/>
  <c r="E68" i="6" s="1"/>
  <c r="F69" i="6" s="1"/>
  <c r="G66" i="6"/>
  <c r="G68" i="6" s="1"/>
  <c r="G69" i="6" s="1"/>
  <c r="G45" i="6"/>
  <c r="G18" i="6" s="1"/>
  <c r="G41" i="6"/>
  <c r="G14" i="6" s="1"/>
  <c r="E29" i="6"/>
  <c r="O20" i="6"/>
  <c r="F16" i="6"/>
  <c r="H5" i="5"/>
  <c r="G42" i="6"/>
  <c r="G15" i="6" s="1"/>
  <c r="H12" i="5"/>
  <c r="F19" i="6"/>
  <c r="F20" i="6"/>
  <c r="F14" i="6"/>
  <c r="AG148" i="3"/>
  <c r="I5" i="5"/>
  <c r="F17" i="6"/>
  <c r="F18" i="6"/>
  <c r="G11" i="6"/>
  <c r="G20" i="6"/>
  <c r="H35" i="6"/>
  <c r="I35" i="6" s="1"/>
  <c r="J35" i="6" s="1"/>
  <c r="K35" i="6" s="1"/>
  <c r="I3" i="2"/>
  <c r="J3" i="2" s="1"/>
  <c r="H4" i="2"/>
  <c r="I19" i="5"/>
  <c r="E30" i="6"/>
  <c r="I12" i="5"/>
  <c r="G8" i="5"/>
  <c r="G13" i="6"/>
  <c r="F11" i="6"/>
  <c r="K19" i="5"/>
  <c r="L19" i="5"/>
  <c r="L18" i="5"/>
  <c r="K18" i="5"/>
  <c r="I18" i="5"/>
  <c r="H18" i="5"/>
  <c r="F13" i="6"/>
  <c r="G17" i="6"/>
  <c r="K19" i="1"/>
  <c r="K14" i="1"/>
  <c r="K33" i="1"/>
  <c r="J33" i="1"/>
  <c r="I33" i="1"/>
  <c r="H33" i="1"/>
  <c r="G33" i="1"/>
  <c r="F33" i="1"/>
  <c r="E33" i="1"/>
  <c r="D33" i="1"/>
  <c r="C33" i="1"/>
  <c r="B33" i="1"/>
  <c r="K28" i="1"/>
  <c r="J28" i="1"/>
  <c r="H28" i="1"/>
  <c r="G28" i="1"/>
  <c r="F28" i="1"/>
  <c r="E28" i="1"/>
  <c r="D28" i="1"/>
  <c r="C28" i="1"/>
  <c r="B28" i="1"/>
  <c r="K23" i="1"/>
  <c r="K24" i="1" s="1"/>
  <c r="J23" i="1"/>
  <c r="I23" i="1"/>
  <c r="H23" i="1"/>
  <c r="G23" i="1"/>
  <c r="F23" i="1"/>
  <c r="D23" i="1"/>
  <c r="C23" i="1"/>
  <c r="B23" i="1"/>
  <c r="K18" i="1"/>
  <c r="J18" i="1"/>
  <c r="H18" i="1"/>
  <c r="G18" i="1"/>
  <c r="F18" i="1"/>
  <c r="D18" i="1"/>
  <c r="C18" i="1"/>
  <c r="B18" i="1"/>
  <c r="K13" i="1"/>
  <c r="J13" i="1"/>
  <c r="H13" i="1"/>
  <c r="G13" i="1"/>
  <c r="G15" i="1" s="1"/>
  <c r="F13" i="1"/>
  <c r="F15" i="1" s="1"/>
  <c r="E13" i="1"/>
  <c r="D13" i="1"/>
  <c r="C13" i="1"/>
  <c r="B13" i="1"/>
  <c r="K8" i="1"/>
  <c r="J8" i="1"/>
  <c r="H8" i="1"/>
  <c r="H10" i="1" s="1"/>
  <c r="F8" i="1"/>
  <c r="D8" i="1"/>
  <c r="C8" i="1"/>
  <c r="B8" i="1"/>
  <c r="G8" i="1"/>
  <c r="G10" i="1" s="1"/>
  <c r="E32" i="1"/>
  <c r="E31" i="1"/>
  <c r="E26" i="1"/>
  <c r="E22" i="1"/>
  <c r="E23" i="1" s="1"/>
  <c r="E21" i="1"/>
  <c r="E17" i="1"/>
  <c r="E18" i="1" s="1"/>
  <c r="E16" i="1"/>
  <c r="E12" i="1"/>
  <c r="E11" i="1"/>
  <c r="E7" i="1"/>
  <c r="E8" i="1" s="1"/>
  <c r="E6" i="1"/>
  <c r="I6" i="1"/>
  <c r="I32" i="1"/>
  <c r="I31" i="1"/>
  <c r="I26" i="1"/>
  <c r="I28" i="1" s="1"/>
  <c r="I22" i="1"/>
  <c r="I21" i="1"/>
  <c r="I17" i="1"/>
  <c r="I18" i="1" s="1"/>
  <c r="I16" i="1"/>
  <c r="I12" i="1"/>
  <c r="I13" i="1" s="1"/>
  <c r="I15" i="1" s="1"/>
  <c r="I11" i="1"/>
  <c r="I7" i="1"/>
  <c r="I8" i="1" s="1"/>
  <c r="I10" i="1" s="1"/>
  <c r="AI70" i="3" l="1"/>
  <c r="AI66" i="3"/>
  <c r="AJ70" i="3"/>
  <c r="AJ65" i="3"/>
  <c r="AJ66" i="3"/>
  <c r="H15" i="1"/>
  <c r="F10" i="1"/>
  <c r="J15" i="1"/>
  <c r="K15" i="1"/>
  <c r="J10" i="1"/>
  <c r="K10" i="1"/>
  <c r="I3" i="3"/>
  <c r="J3" i="3" s="1"/>
  <c r="H4" i="3"/>
  <c r="J18" i="5"/>
  <c r="L35" i="6"/>
  <c r="I15" i="6"/>
  <c r="I19" i="6"/>
  <c r="I18" i="6"/>
  <c r="I11" i="6"/>
  <c r="I13" i="6"/>
  <c r="I16" i="6"/>
  <c r="I20" i="6"/>
  <c r="I14" i="6"/>
  <c r="I17" i="6"/>
  <c r="G19" i="5"/>
  <c r="I9" i="5"/>
  <c r="I8" i="5"/>
  <c r="J4" i="2"/>
  <c r="K3" i="2"/>
  <c r="H8" i="5"/>
  <c r="H9" i="5"/>
  <c r="H19" i="5"/>
  <c r="AJ82" i="3" l="1"/>
  <c r="L11" i="5" s="1"/>
  <c r="L15" i="5" s="1"/>
  <c r="AJ71" i="3"/>
  <c r="AJ81" i="3"/>
  <c r="AJ72" i="3"/>
  <c r="AI82" i="3"/>
  <c r="K11" i="5" s="1"/>
  <c r="G29" i="5" s="1"/>
  <c r="AI81" i="3"/>
  <c r="AI72" i="3"/>
  <c r="J4" i="3"/>
  <c r="K3" i="3"/>
  <c r="K5" i="5"/>
  <c r="J5" i="5"/>
  <c r="K4" i="2"/>
  <c r="L3" i="2"/>
  <c r="M35" i="6"/>
  <c r="J16" i="6"/>
  <c r="J13" i="6"/>
  <c r="J11" i="6"/>
  <c r="J15" i="6"/>
  <c r="J18" i="6"/>
  <c r="J17" i="6"/>
  <c r="J20" i="6"/>
  <c r="J14" i="6"/>
  <c r="U14" i="6" s="1"/>
  <c r="J19" i="6"/>
  <c r="K21" i="5" l="1"/>
  <c r="L20" i="5"/>
  <c r="C19" i="5"/>
  <c r="L21" i="5"/>
  <c r="C20" i="5" s="1"/>
  <c r="L14" i="5"/>
  <c r="L3" i="3"/>
  <c r="K4" i="3"/>
  <c r="Q15" i="6"/>
  <c r="U15" i="6"/>
  <c r="Q11" i="6"/>
  <c r="U11" i="6"/>
  <c r="Q17" i="6"/>
  <c r="U17" i="6"/>
  <c r="Q13" i="6"/>
  <c r="U13" i="6"/>
  <c r="Q16" i="6"/>
  <c r="U16" i="6"/>
  <c r="Q18" i="6"/>
  <c r="U18" i="6"/>
  <c r="N35" i="6"/>
  <c r="K19" i="6"/>
  <c r="K16" i="6"/>
  <c r="K18" i="6"/>
  <c r="K15" i="6"/>
  <c r="K11" i="6"/>
  <c r="K13" i="6"/>
  <c r="K17" i="6"/>
  <c r="K14" i="6"/>
  <c r="K20" i="6"/>
  <c r="L4" i="2"/>
  <c r="M3" i="2"/>
  <c r="Q19" i="6"/>
  <c r="U19" i="6"/>
  <c r="Q14" i="6"/>
  <c r="Q20" i="6"/>
  <c r="U20" i="6"/>
  <c r="H30" i="5" l="1"/>
  <c r="C34" i="5" s="1"/>
  <c r="H29" i="5"/>
  <c r="C21" i="5"/>
  <c r="C22" i="5" s="1"/>
  <c r="L4" i="3"/>
  <c r="M3" i="3"/>
  <c r="R19" i="6"/>
  <c r="V19" i="6"/>
  <c r="M4" i="2"/>
  <c r="N3" i="2"/>
  <c r="O35" i="6"/>
  <c r="L11" i="6"/>
  <c r="S11" i="6" s="1"/>
  <c r="L18" i="6"/>
  <c r="S18" i="6" s="1"/>
  <c r="L15" i="6"/>
  <c r="S15" i="6" s="1"/>
  <c r="L16" i="6"/>
  <c r="S16" i="6" s="1"/>
  <c r="L13" i="6"/>
  <c r="S13" i="6" s="1"/>
  <c r="L14" i="6"/>
  <c r="S14" i="6" s="1"/>
  <c r="L20" i="6"/>
  <c r="S20" i="6" s="1"/>
  <c r="L17" i="6"/>
  <c r="S17" i="6" s="1"/>
  <c r="L19" i="6"/>
  <c r="S19" i="6" s="1"/>
  <c r="R14" i="6"/>
  <c r="V14" i="6"/>
  <c r="R17" i="6"/>
  <c r="V17" i="6"/>
  <c r="U25" i="6"/>
  <c r="U24" i="6"/>
  <c r="R20" i="6"/>
  <c r="V20" i="6"/>
  <c r="R13" i="6"/>
  <c r="V13" i="6"/>
  <c r="Q25" i="6"/>
  <c r="Q24" i="6"/>
  <c r="R16" i="6"/>
  <c r="V16" i="6"/>
  <c r="R11" i="6"/>
  <c r="H29" i="6"/>
  <c r="V11" i="6"/>
  <c r="R15" i="6"/>
  <c r="V15" i="6"/>
  <c r="R18" i="6"/>
  <c r="V18" i="6"/>
  <c r="C24" i="5" l="1"/>
  <c r="C23" i="5"/>
  <c r="M4" i="3"/>
  <c r="N3" i="3"/>
  <c r="M18" i="6"/>
  <c r="T18" i="6" s="1"/>
  <c r="M13" i="6"/>
  <c r="T13" i="6" s="1"/>
  <c r="M15" i="6"/>
  <c r="T15" i="6" s="1"/>
  <c r="M20" i="6"/>
  <c r="T20" i="6" s="1"/>
  <c r="M11" i="6"/>
  <c r="M14" i="6"/>
  <c r="T14" i="6" s="1"/>
  <c r="M17" i="6"/>
  <c r="T17" i="6" s="1"/>
  <c r="M16" i="6"/>
  <c r="T16" i="6" s="1"/>
  <c r="M19" i="6"/>
  <c r="T19" i="6" s="1"/>
  <c r="S25" i="6"/>
  <c r="S24" i="6"/>
  <c r="O3" i="2"/>
  <c r="N4" i="2"/>
  <c r="V25" i="6"/>
  <c r="V24" i="6"/>
  <c r="R25" i="6"/>
  <c r="R24" i="6"/>
  <c r="H30" i="6"/>
  <c r="L29" i="6"/>
  <c r="T29" i="6" s="1"/>
  <c r="X29" i="6" s="1"/>
  <c r="O3" i="3" l="1"/>
  <c r="N4" i="3"/>
  <c r="T25" i="6"/>
  <c r="T24" i="6"/>
  <c r="O4" i="2"/>
  <c r="P3" i="2"/>
  <c r="L30" i="6"/>
  <c r="T30" i="6" s="1"/>
  <c r="X30" i="6" s="1"/>
  <c r="H31" i="6"/>
  <c r="I29" i="6"/>
  <c r="T11" i="6"/>
  <c r="O4" i="3" l="1"/>
  <c r="P3" i="3"/>
  <c r="H32" i="6"/>
  <c r="L32" i="6" s="1"/>
  <c r="T32" i="6" s="1"/>
  <c r="X32" i="6" s="1"/>
  <c r="L31" i="6"/>
  <c r="T31" i="6" s="1"/>
  <c r="X31" i="6" s="1"/>
  <c r="M29" i="6"/>
  <c r="U29" i="6" s="1"/>
  <c r="Y29" i="6" s="1"/>
  <c r="I30" i="6"/>
  <c r="Q3" i="2"/>
  <c r="P4" i="2"/>
  <c r="Q3" i="3" l="1"/>
  <c r="P4" i="3"/>
  <c r="R3" i="2"/>
  <c r="Q4" i="2"/>
  <c r="I31" i="6"/>
  <c r="M30" i="6"/>
  <c r="U30" i="6" s="1"/>
  <c r="Y30" i="6" s="1"/>
  <c r="Q4" i="3" l="1"/>
  <c r="R3" i="3"/>
  <c r="I32" i="6"/>
  <c r="M32" i="6" s="1"/>
  <c r="U32" i="6" s="1"/>
  <c r="Y32" i="6" s="1"/>
  <c r="M31" i="6"/>
  <c r="U31" i="6" s="1"/>
  <c r="Y31" i="6" s="1"/>
  <c r="S3" i="2"/>
  <c r="R4" i="2"/>
  <c r="S3" i="3" l="1"/>
  <c r="R4" i="3"/>
  <c r="T3" i="2"/>
  <c r="X3" i="2"/>
  <c r="S4" i="2"/>
  <c r="X3" i="3" l="1"/>
  <c r="T3" i="3"/>
  <c r="S4" i="3"/>
  <c r="T4" i="2"/>
  <c r="U3" i="2"/>
  <c r="X4" i="2"/>
  <c r="AC3" i="2"/>
  <c r="U3" i="3" l="1"/>
  <c r="T4" i="3"/>
  <c r="AC3" i="3"/>
  <c r="AC4" i="3" s="1"/>
  <c r="X4" i="3"/>
  <c r="AC4" i="2"/>
  <c r="AH3" i="2"/>
  <c r="U4" i="2"/>
  <c r="V3" i="2"/>
  <c r="U4" i="3" l="1"/>
  <c r="V3" i="3"/>
  <c r="W3" i="2"/>
  <c r="V4" i="2"/>
  <c r="AJ3" i="2"/>
  <c r="AJ4" i="2" s="1"/>
  <c r="AH4" i="2"/>
  <c r="W3" i="3" l="1"/>
  <c r="V4" i="3"/>
  <c r="W4" i="2"/>
  <c r="Y3" i="2"/>
  <c r="Y3" i="3" l="1"/>
  <c r="W4" i="3"/>
  <c r="Y4" i="2"/>
  <c r="Z3" i="2"/>
  <c r="Y4" i="3" l="1"/>
  <c r="Z3" i="3"/>
  <c r="Z4" i="2"/>
  <c r="AA3" i="2"/>
  <c r="Z4" i="3" l="1"/>
  <c r="AA3" i="3"/>
  <c r="AA4" i="2"/>
  <c r="AB3" i="2"/>
  <c r="AA4" i="3" l="1"/>
  <c r="AB3" i="3"/>
  <c r="AD3" i="2"/>
  <c r="AB4" i="2"/>
  <c r="AD3" i="3" l="1"/>
  <c r="AB4" i="3"/>
  <c r="AE3" i="2"/>
  <c r="AD4" i="2"/>
  <c r="AD4" i="3" l="1"/>
  <c r="AE3" i="3"/>
  <c r="AE4" i="2"/>
  <c r="AF3" i="2"/>
  <c r="AF3" i="3" l="1"/>
  <c r="AE4" i="3"/>
  <c r="AF4" i="2"/>
  <c r="AG3" i="2"/>
  <c r="AF4" i="3" l="1"/>
  <c r="AG3" i="3"/>
  <c r="AG4" i="3" s="1"/>
  <c r="AG4" i="2"/>
  <c r="AI3" i="2"/>
  <c r="AI4" i="2" s="1"/>
  <c r="AG34" i="3" l="1"/>
  <c r="AF34" i="3"/>
  <c r="AH42" i="3" l="1"/>
  <c r="AF49" i="3"/>
  <c r="AF50" i="3" s="1"/>
  <c r="AG42" i="3"/>
  <c r="AG49" i="3"/>
  <c r="AG50" i="3" s="1"/>
  <c r="AG44" i="3"/>
  <c r="AH44" i="3"/>
  <c r="AF44" i="3"/>
  <c r="AF53" i="3" s="1"/>
  <c r="AG35" i="3"/>
  <c r="AF42" i="3"/>
  <c r="AF35" i="3"/>
  <c r="AI45" i="3" l="1"/>
  <c r="AF61" i="3"/>
  <c r="AF62" i="3" s="1"/>
  <c r="AF67" i="3"/>
  <c r="AF68" i="3" s="1"/>
  <c r="AF75" i="3"/>
  <c r="AF60" i="3"/>
  <c r="AF55" i="3"/>
  <c r="AF54" i="3"/>
  <c r="AG46" i="3"/>
  <c r="AG53" i="3"/>
  <c r="AG45" i="3"/>
  <c r="AH49" i="3"/>
  <c r="AH53" i="3" s="1"/>
  <c r="AF45" i="3"/>
  <c r="AF46" i="3"/>
  <c r="AH46" i="3"/>
  <c r="AH45" i="3"/>
  <c r="AI50" i="3" l="1"/>
  <c r="AF77" i="3"/>
  <c r="AF76" i="3"/>
  <c r="AF64" i="3"/>
  <c r="AF66" i="3"/>
  <c r="AF65" i="3"/>
  <c r="AG75" i="3"/>
  <c r="AG67" i="3"/>
  <c r="AG60" i="3"/>
  <c r="AG61" i="3"/>
  <c r="AG64" i="3" s="1"/>
  <c r="AH60" i="3"/>
  <c r="AH51" i="3"/>
  <c r="AH55" i="3"/>
  <c r="AH54" i="3"/>
  <c r="AG55" i="3"/>
  <c r="AG54" i="3"/>
  <c r="AH50" i="3"/>
  <c r="AG70" i="3" l="1"/>
  <c r="AH75" i="3"/>
  <c r="J7" i="5" s="1"/>
  <c r="AI54" i="3"/>
  <c r="AG76" i="3"/>
  <c r="AG77" i="3"/>
  <c r="AF70" i="3"/>
  <c r="AH70" i="3" s="1"/>
  <c r="AH82" i="3" s="1"/>
  <c r="J11" i="5" s="1"/>
  <c r="J15" i="5" s="1"/>
  <c r="AH64" i="3"/>
  <c r="AI65" i="3" s="1"/>
  <c r="AF81" i="3"/>
  <c r="AH61" i="3"/>
  <c r="AI62" i="3" s="1"/>
  <c r="AG62" i="3"/>
  <c r="AH67" i="3"/>
  <c r="AI68" i="3" s="1"/>
  <c r="AG68" i="3"/>
  <c r="AF72" i="3" l="1"/>
  <c r="AF71" i="3"/>
  <c r="AF82" i="3"/>
  <c r="AH81" i="3"/>
  <c r="AI71" i="3"/>
  <c r="AH76" i="3"/>
  <c r="AI76" i="3"/>
  <c r="AH77" i="3"/>
  <c r="AG66" i="3"/>
  <c r="AG65" i="3"/>
  <c r="AH69" i="3"/>
  <c r="AH68" i="3"/>
  <c r="AH63" i="3"/>
  <c r="AH62" i="3"/>
  <c r="K15" i="5" l="1"/>
  <c r="K20" i="5"/>
  <c r="H28" i="5" s="1"/>
  <c r="L12" i="5"/>
  <c r="AG81" i="3"/>
  <c r="AG82" i="3"/>
  <c r="AG71" i="3"/>
  <c r="AG72" i="3"/>
  <c r="AH66" i="3"/>
  <c r="AH65" i="3"/>
  <c r="AH71" i="3" l="1"/>
  <c r="AH72" i="3"/>
  <c r="K9" i="5"/>
  <c r="J19" i="5"/>
  <c r="J9" i="5"/>
  <c r="J8" i="5"/>
  <c r="K14" i="5" l="1"/>
  <c r="J14" i="5"/>
  <c r="K12" i="5"/>
  <c r="J20" i="5"/>
  <c r="J12" i="5"/>
  <c r="I30" i="5" l="1"/>
  <c r="J30" i="5" s="1"/>
  <c r="C35" i="5"/>
  <c r="C28" i="5"/>
  <c r="I28" i="5"/>
  <c r="J28" i="5" s="1"/>
  <c r="C27" i="5"/>
  <c r="I29" i="5"/>
  <c r="J29" i="5" s="1"/>
  <c r="C29" i="5" l="1"/>
  <c r="C36" i="5"/>
  <c r="C30" i="5" l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kencu</author>
  </authors>
  <commentList>
    <comment ref="A1" authorId="0" shapeId="0" xr:uid="{AF436820-E32E-4595-B856-093A3A459EF1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Timestamp="1723840963"&gt;&lt;FQL&gt;&lt;Q&gt;KEMIRA-FI^FE_VALUATION(PE,MEAN,ANN,+2,NOW,,,'')&lt;/Q&gt;&lt;R&gt;1&lt;/R&gt;&lt;C&gt;1&lt;/C&gt;&lt;D xsi:type="xsd:double"&gt;12.035902&lt;/D&gt;&lt;/FQL&gt;&lt;FQL&gt;&lt;Q&gt;VIE-FR^FE_VALUATION(PE,MEAN,ANN,+2,NOW,,,'')&lt;/Q&gt;&lt;R&gt;1&lt;/R&gt;&lt;C&gt;1&lt;/C&gt;&lt;D xsi:type="xsd:double"&gt;12.328158&lt;/D&gt;&lt;/FQL&gt;&lt;FQL&gt;&lt;Q&gt;PNR-US^FE_VALUATION(PE,MEAN,ANN,+2,NOW,,,'')&lt;/Q&gt;&lt;R&gt;1&lt;/R&gt;&lt;C&gt;1&lt;/C&gt;&lt;D xsi:type="xsd:double"&gt;17.421053&lt;/D&gt;&lt;/FQL&gt;&lt;FQL&gt;&lt;Q&gt;STE-US^FE_VALUATION(PE,MEAN,ANN,+2,NOW,,,'')&lt;/Q&gt;&lt;R&gt;1&lt;/R&gt;&lt;C&gt;1&lt;/C&gt;&lt;D xsi:type="xsd:double"&gt;22.977938&lt;/D&gt;&lt;/FQL&gt;&lt;FQL&gt;&lt;Q&gt;CLX-US^FE_VALUATION(PE,MEAN,ANN,+2,NOW,,,'')&lt;/Q&gt;&lt;R&gt;1&lt;/R&gt;&lt;C&gt;1&lt;/C&gt;&lt;D xsi:type="xsd:double"&gt;20.44086&lt;/D&gt;&lt;/FQL&gt;&lt;FQL&gt;&lt;Q&gt;DOV-US^FE_VALUATION(PE,MEAN,ANN,+2,NOW,,,'')&lt;/Q&gt;&lt;R&gt;1&lt;/R&gt;&lt;C&gt;1&lt;/C&gt;&lt;D xsi:type="xsd:double"&gt;18.140156&lt;/D&gt;&lt;/FQL&gt;&lt;FQL&gt;&lt;Q&gt;XYL-US^FE_VALUATION(PE,MEAN,ANN,+2,NOW,,,'')&lt;/Q&gt;&lt;R&gt;1&lt;/R&gt;&lt;C&gt;1&lt;/C&gt;&lt;D xsi:type="xsd:double"&gt;27.396307&lt;/D&gt;&lt;/FQL&gt;&lt;FQL&gt;&lt;Q&gt;DD-US^FE_VALUATION(PE,MEAN,ANN,+2,NOW,,,'')&lt;/Q&gt;&lt;R&gt;1&lt;/R&gt;&lt;C&gt;1&lt;/C&gt;&lt;D xsi:type="xsd:double"&gt;17.978437&lt;/D&gt;&lt;/FQL&gt;&lt;FQL&gt;&lt;Q&gt;ECL-US^FE_VALUATION(PE,MEAN,ANN,+2,NOW,,,'')&lt;/Q&gt;&lt;R&gt;1&lt;/R&gt;&lt;C&gt;1&lt;/C&gt;&lt;D xsi:type="xsd:double"&gt;31.946083&lt;/D&gt;&lt;/FQL&gt;&lt;FQL&gt;&lt;Q&gt;ECL-US^FREF_SHARES_COMPANY(0,,,,0,"LEGACY")&lt;/Q&gt;&lt;R&gt;1&lt;/R&gt;&lt;C&gt;1&lt;/C&gt;&lt;D xsi:type="xsd:double"&gt;284.537628173828&lt;/D&gt;&lt;/FQL&gt;&lt;FQL&gt;&lt;Q&gt;KEMIRA-FI^FF_EBITDA_OPER(ANN_R,-1AY,,,,USD)&lt;/Q&gt;&lt;R&gt;1&lt;/R&gt;&lt;C&gt;1&lt;/C&gt;&lt;D xsi:type="xsd:double"&gt;570.78418&lt;/D&gt;&lt;/FQL&gt;&lt;FQL&gt;&lt;Q&gt;VIE-FR^FF_EBITDA_OPER(ANN_R,0Y,,,,USD)&lt;/Q&gt;&lt;R&gt;1&lt;/R&gt;&lt;C&gt;1&lt;/C&gt;&lt;D xsi:type="xsd:double"&gt;6482.36916&lt;/D&gt;&lt;/FQL&gt;&lt;FQL&gt;&lt;Q&gt;PNR-US^FF_NET_INC(ANN_R,-1AY,,,,USD)&lt;/Q&gt;&lt;R&gt;1&lt;/R&gt;&lt;C&gt;1&lt;/C&gt;&lt;D xsi:type="xsd:double"&gt;483.2&lt;/D&gt;&lt;/FQL&gt;&lt;FQL&gt;&lt;Q&gt;STE-US^FF_NET_INC(ANN_R,0Y,,,,USD)&lt;/Q&gt;&lt;R&gt;1&lt;/R&gt;&lt;C&gt;1&lt;/C&gt;&lt;D xsi:type="xsd:double"&gt;551.44&lt;/D&gt;&lt;/FQL&gt;&lt;FQL&gt;&lt;Q&gt;STE-US^FF_SALES(ANN_R,-2AY,,,,USD)&lt;/Q&gt;&lt;R&gt;1&lt;/R&gt;&lt;C&gt;1&lt;/C&gt;&lt;D xsi:type="xsd:double"&gt;4585.064&lt;/D&gt;&lt;/FQL&gt;&lt;FQL&gt;&lt;Q&gt;CLX-US^FF_SALES(ANN_R,-1AY,,,,USD)&lt;/Q&gt;&lt;R&gt;1&lt;/R&gt;&lt;C&gt;1&lt;/C&gt;&lt;D xsi:type="xsd:double"&gt;7389&lt;/D&gt;&lt;/FQL&gt;&lt;FQL&gt;&lt;Q&gt;DOV-US^FF_SALES(ANN_R,0Y,,,,USD)&lt;/Q&gt;&lt;R&gt;1&lt;/R&gt;&lt;C&gt;1&lt;/C&gt;&lt;D xsi:type="xsd:double"&gt;8438.134&lt;/D&gt;&lt;/FQL&gt;&lt;FQL&gt;&lt;Q&gt;XYL-US^FF_EBITDA_OPER(ANN_R,-1AY,,,,USD)&lt;/Q&gt;&lt;R&gt;1&lt;/R&gt;&lt;C&gt;1&lt;/C&gt;&lt;D xsi:type="xsd:double"&gt;901&lt;/D&gt;&lt;/FQL&gt;&lt;FQL&gt;&lt;Q&gt;DD-US^FF_EBITDA_OPER(ANN_R,0Y,,,,USD)&lt;/Q&gt;&lt;R&gt;1&lt;/R&gt;&lt;C&gt;1&lt;/C&gt;&lt;D xsi:type="xsd:double"&gt;2864&lt;/D&gt;&lt;/FQL&gt;&lt;FQL&gt;&lt;Q&gt;ECL-US^FF_NET_INC(ANN_R,-1AY,,,,USD)&lt;/Q&gt;&lt;R&gt;1&lt;/R&gt;&lt;C&gt;1&lt;/C&gt;&lt;D xsi:type="xsd:double"&gt;1091.7&lt;/D&gt;&lt;/FQL&gt;&lt;FQL&gt;&lt;Q&gt;KEMIRA-FI^FF_DEBT(QTR_R,0)&lt;/Q&gt;&lt;R&gt;1&lt;/R&gt;&lt;C&gt;1&lt;/C&gt;&lt;D xsi:type="xsd:double"&gt;753.1&lt;/D&gt;&lt;/FQL&gt;&lt;FQL&gt;&lt;Q&gt;STE-US^FF_CASH_ST(QTR_R,0)&lt;/Q&gt;&lt;R&gt;1&lt;/R&gt;&lt;C&gt;1&lt;/C&gt;&lt;D xsi:type="xsd:double"&gt;198.328&lt;/D&gt;&lt;/FQL&gt;&lt;FQL&gt;&lt;Q&gt;XYL-US^FF_CASH_ST(QTR_R,0)&lt;/Q&gt;&lt;R&gt;1&lt;/R&gt;&lt;C&gt;1&lt;/C&gt;&lt;D xsi:type="xsd:double"&gt;815&lt;/D&gt;&lt;/FQL&gt;&lt;FQL&gt;&lt;Q&gt;KEMIRA-FI^FG_PRICE(0,,,USD)&lt;/Q&gt;&lt;R&gt;1&lt;/R&gt;&lt;C&gt;1&lt;/C&gt;&lt;D xsi:type="xsd:double"&gt;22.54745&lt;/D&gt;&lt;/FQL&gt;&lt;FQL&gt;&lt;Q&gt;PNR-US^FG_PRICE(0,,,USD)&lt;/Q&gt;&lt;R&gt;1&lt;/R&gt;&lt;C&gt;1&lt;/C&gt;&lt;D xsi:type="xsd:double"&gt;84.81&lt;/D&gt;&lt;/FQL&gt;&lt;FQL&gt;&lt;Q&gt;CLX-US^FG_PRICE(0,,,USD)&lt;/Q&gt;&lt;R&gt;1&lt;/R&gt;&lt;C&gt;1&lt;/C&gt;&lt;D xsi:type="xsd:double"&gt;143.63&lt;/D&gt;&lt;/FQL&gt;&lt;FQL&gt;&lt;Q&gt;XYL-US^FG_PRICE(0,,,USD)&lt;/Q&gt;&lt;R&gt;1&lt;/R&gt;&lt;C&gt;1&lt;/C&gt;&lt;D xsi:type="xsd:double"&gt;131.71&lt;/D&gt;&lt;/FQL&gt;&lt;FQL&gt;&lt;Q&gt;ECL-US^FG_PRICE(0,,,USD)&lt;/Q&gt;&lt;R&gt;1&lt;/R&gt;&lt;C&gt;1&lt;/C&gt;&lt;D xsi:type="xsd:double"&gt;241.33&lt;/D&gt;&lt;/FQL&gt;&lt;FQL&gt;&lt;Q&gt;STE-US^FF_EBITDA_OPER(ANN_R,-1AY,,,,USD)&lt;/Q&gt;&lt;R&gt;1&lt;/R&gt;&lt;C&gt;1&lt;/C&gt;&lt;D xsi:type="xsd:double"&gt;1364.057&lt;/D&gt;&lt;/FQL&gt;&lt;FQL&gt;&lt;Q&gt;CLX-US^FF_EBITDA_OPER(ANN_R,-1AY,,,,USD)&lt;/Q&gt;&lt;R&gt;1&lt;/R&gt;&lt;C&gt;1&lt;/C&gt;&lt;D xsi:type="xsd:double"&gt;1063&lt;/D&gt;&lt;/FQL&gt;&lt;FQL&gt;&lt;Q&gt;XYL-US^FF_EBITDA_OPER(ANN_R,0Y,,,,USD)&lt;/Q&gt;&lt;R&gt;1&lt;/R&gt;&lt;C&gt;1&lt;/C&gt;&lt;D xsi:type="xsd:double"&gt;1171&lt;/D&gt;&lt;/FQL&gt;&lt;FQL&gt;&lt;Q&gt;XYL-US^FCS_SHARES(TOT,SHS,ANN,0,,,,,M)&lt;/Q&gt;&lt;R&gt;1&lt;/R&gt;&lt;C&gt;1&lt;/C&gt;&lt;D xsi:type="xsd:double"&gt;243.672389&lt;/D&gt;&lt;/FQL&gt;&lt;FQL&gt;&lt;Q&gt;KEMIRA-FI^FE_VALUATION(PE,MEAN,ANN,+1,NOW,,,'')&lt;/Q&gt;&lt;R&gt;1&lt;/R&gt;&lt;C&gt;1&lt;/C&gt;&lt;D xsi:type="xsd:double"&gt;11.392082&lt;/D&gt;&lt;/FQL&gt;&lt;FQL&gt;&lt;Q&gt;VIE-FR^FE_VALUATION(PE,MEAN,ANN,+1,NOW,,,'')&lt;/Q&gt;&lt;R&gt;1&lt;/R&gt;&lt;C&gt;1&lt;/C&gt;&lt;D xsi:type="xsd:double"&gt;13.666978&lt;/D&gt;&lt;/FQL&gt;&lt;FQL&gt;&lt;Q&gt;PNR-US^FE_VALUATION(PE,MEAN,ANN,+1,NOW,,,'')&lt;/Q&gt;&lt;R&gt;1&lt;/R&gt;&lt;C&gt;1&lt;/C&gt;&lt;D xsi:type="xsd:double"&gt;19.653843&lt;/D&gt;&lt;/FQL&gt;&lt;FQL&gt;&lt;Q&gt;STE-US^FE_VALUATION(PE,MEAN,ANN,+1,NOW,,,'')&lt;/Q&gt;&lt;R&gt;1&lt;/R&gt;&lt;C&gt;1&lt;/C&gt;&lt;D xsi:type="xsd:double"&gt;25.33952&lt;/D&gt;&lt;/FQL&gt;&lt;FQL&gt;&lt;Q&gt;CLX-US^FE_VALUATION(PE,MEAN,ANN,+1,NOW,,,'')&lt;/Q&gt;&lt;R&gt;1&lt;/R&gt;&lt;C&gt;1&lt;/C&gt;&lt;D xsi:type="xsd:double"&gt;21.855902&lt;/D&gt;&lt;/FQL&gt;&lt;FQL&gt;&lt;Q&gt;DOV-US^FE_VALUATION(PE,MEAN,ANN,+1,NOW,,,'')&lt;/Q&gt;&lt;R&gt;1&lt;/R&gt;&lt;C&gt;1&lt;/C&gt;&lt;D xsi:type="xsd:double"&gt;19.270767&lt;/D&gt;&lt;/FQL&gt;&lt;FQL&gt;&lt;Q&gt;XYL-US^FE_VALUATION(PE,MEAN,ANN,+1,NOW,,,'')&lt;/Q&gt;&lt;R&gt;1&lt;/R&gt;&lt;C&gt;1&lt;/C&gt;&lt;D xsi:type="xsd:double"&gt;30.942019&lt;/D&gt;&lt;/FQL&gt;&lt;FQL&gt;&lt;Q&gt;DD-US^FE_VALUATION(PE,MEAN,ANN,+1,NOW,,,'')&lt;/Q&gt;&lt;R&gt;1&lt;/R&gt;&lt;C&gt;1&lt;/C&gt;&lt;D xsi:type="xsd:double"&gt;20.914091&lt;/D&gt;&lt;/FQL&gt;&lt;FQL&gt;&lt;Q&gt;ECL-US^FE_VALUATION(PE,MEAN,ANN,+1,NOW,,,'')&lt;/Q&gt;&lt;R&gt;1&lt;/R&gt;&lt;C&gt;1&lt;/C&gt;&lt;D xsi:type="xsd:double"&gt;36.009483&lt;/D&gt;&lt;/FQL&gt;&lt;FQL&gt;&lt;Q&gt;ECL-US^FF_DEBT(QTR_R,0)&lt;/Q&gt;&lt;R&gt;1&lt;/R&gt;&lt;C&gt;1&lt;/C&gt;&lt;D xsi:type="xsd:double"&gt;8115.3&lt;/D&gt;&lt;/FQL&gt;&lt;FQL&gt;&lt;Q&gt;KEMIRA-FI^FF_SALES(ANN_R,0Y,,,,USD)&lt;/Q&gt;&lt;R&gt;1&lt;/R&gt;&lt;C&gt;1&lt;/C&gt;&lt;D xsi:type="xsd:double"&gt;3658.17086738348&lt;/D&gt;&lt;/FQL&gt;&lt;FQL&gt;&lt;Q&gt;VIE-FR^FF_EBITDA_OPER(ANN_R,-1AY,,,,USD)&lt;/Q&gt;&lt;R&gt;1&lt;/R&gt;&lt;C&gt;1&lt;/C&gt;&lt;D xsi:type="xsd:double"&gt;6283.46046&lt;/D&gt;&lt;/FQL&gt;&lt;FQL&gt;&lt;Q&gt;PNR-US^FF_EBITDA_OPER(ANN_R,0Y,,,,USD)&lt;/Q&gt;&lt;R&gt;1&lt;/R&gt;&lt;C&gt;1&lt;/C&gt;&lt;D xsi:type="xsd:double"&gt;904.7&lt;/D&gt;&lt;/FQL&gt;&lt;FQL&gt;&lt;Q&gt;STE-US^FF_NET_INC(ANN_R,-1AY,,,,USD)&lt;/Q&gt;&lt;R&gt;1&lt;/R&gt;&lt;C&gt;1&lt;/C&gt;&lt;D xsi:type="xsd:double"&gt;557.414&lt;/D&gt;&lt;/FQL&gt;&lt;FQL&gt;&lt;Q&gt;CLX-US^FF_NET_INC(ANN_R,0Y,,,,USD)&lt;/Q&gt;&lt;R&gt;1&lt;/R&gt;&lt;C&gt;1&lt;/C&gt;&lt;D xsi:type="xsd:double"&gt;280&lt;/D&gt;&lt;/FQL&gt;&lt;FQL&gt;&lt;Q&gt;CLX-US^FF_SALES(ANN_R,-2AY,,,,USD)&lt;/Q&gt;&lt;R&gt;1&lt;/R&gt;&lt;C&gt;1&lt;/C&gt;&lt;D xsi:type="xsd:double"&gt;7107&lt;/D&gt;&lt;/FQL&gt;&lt;FQL&gt;&lt;Q&gt;DOV-US^FF_SALES(ANN_R,-1AY,,,,USD)&lt;/Q&gt;&lt;R&gt;1&lt;/R&gt;&lt;C&gt;1&lt;/C&gt;&lt;D xsi:type="xsd:double"&gt;8508.088&lt;/D&gt;&lt;/FQL&gt;&lt;FQL&gt;&lt;Q&gt;XYL-US^FF_SALES(ANN_R,0Y,,,,USD)&lt;/Q&gt;&lt;R&gt;1&lt;/R&gt;&lt;C&gt;1&lt;/C&gt;&lt;D xsi:type="xsd:double"&gt;7367&lt;/D&gt;&lt;/FQL&gt;&lt;FQL&gt;&lt;Q&gt;DD-US^FF_EBITDA_OPER(ANN_R,-1AY,,,,USD)&lt;/Q&gt;&lt;R&gt;1&lt;/R&gt;&lt;C&gt;1&lt;/C&gt;&lt;D xsi:type="xsd:double"&gt;3157&lt;/D&gt;&lt;/FQL&gt;&lt;FQL&gt;&lt;Q&gt;ECL-US^FF_EBITDA_OPER(ANN_R,0Y,,,,USD)&lt;/Q&gt;&lt;R&gt;1&lt;/R&gt;&lt;C&gt;1&lt;/C&gt;&lt;D xsi:type="xsd:double"&gt;3084.3&lt;/D&gt;&lt;/FQL&gt;&lt;FQL&gt;&lt;Q&gt;XYL-US^FG_COMPANY_NAME&lt;/Q&gt;&lt;R&gt;1&lt;/R&gt;&lt;C&gt;1&lt;/C&gt;&lt;D xsi:type="xsd:string"&gt;Xylem Inc.&lt;/D&gt;&lt;/FQL&gt;&lt;FQL&gt;&lt;Q&gt;VIE-FR^FF_DEBT(QTR_R,0)&lt;/Q&gt;&lt;R&gt;0&lt;/R&gt;&lt;C&gt;0&lt;/C&gt;&lt;/FQL&gt;&lt;FQL&gt;&lt;Q&gt;PNR-US^FE_VALUATION(FFEV_EBITDA,MEAN,ANN,+1,NOW,,,'')&lt;/Q&gt;&lt;R&gt;1&lt;/R&gt;&lt;C&gt;1&lt;/C&gt;&lt;D xsi:type="xsd:double"&gt;15.246924&lt;/D&gt;&lt;/FQL&gt;&lt;FQL&gt;&lt;Q&gt;DD-US^FE_VALUATION(FFEV_EBITDA,MEAN,ANN,+1,NOW,,,'')&lt;/Q&gt;&lt;R&gt;1&lt;/R&gt;&lt;C&gt;1&lt;/C&gt;&lt;D xsi:type="xsd:double"&gt;13.149066&lt;/D&gt;&lt;/FQL&gt;&lt;FQL&gt;&lt;Q&gt;VIE-FR^FF_SALES(ANN_R,-1AY,,,,USD)&lt;/Q&gt;&lt;R&gt;1&lt;/R&gt;&lt;C&gt;1&lt;/C&gt;&lt;D xsi:type="xsd:double"&gt;45071.3511089802&lt;/D&gt;&lt;/FQL&gt;&lt;FQL&gt;&lt;Q&gt;DOV-US^FF_NET_INC(ANN_R,-1AY,,,,USD)&lt;/Q&gt;&lt;R&gt;1&lt;/R&gt;&lt;C&gt;1&lt;/C&gt;&lt;D xsi:type="xsd:double"&gt;1065.376&lt;/D&gt;&lt;/FQL&gt;&lt;FQL&gt;&lt;Q&gt;DD-US^FF_SALES(ANN_R,-1AY,,,,USD)&lt;/Q&gt;&lt;R&gt;1&lt;/R&gt;&lt;C&gt;1&lt;/C&gt;&lt;D xsi:type="xsd:double"&gt;13017&lt;/D&gt;&lt;/FQL&gt;&lt;FQL&gt;&lt;Q&gt;DD-US^FF_SALES(ANN_R,-2AY,,,,USD)&lt;/Q&gt;&lt;R&gt;1&lt;/R&gt;&lt;C&gt;1&lt;/C&gt;&lt;D xsi:type="xsd:double"&gt;12566&lt;/D&gt;&lt;/FQL&gt;&lt;FQL&gt;&lt;Q&gt;DD-US^FF_NET_INC(ANN_R,-1AY,,,,USD)&lt;/Q&gt;&lt;R&gt;1&lt;/R&gt;&lt;C&gt;1&lt;/C&gt;&lt;D xsi:type="xsd:double"&gt;1012&lt;/D&gt;&lt;/FQL&gt;&lt;FQL&gt;&lt;Q&gt;ECL-US^FF_EPS(ANN_R,NOW,,,,USD)&lt;/Q&gt;&lt;R&gt;1&lt;/R&gt;&lt;C&gt;1&lt;/C&gt;&lt;D xsi:type="xsd:double"&gt;4.7899&lt;/D&gt;&lt;/FQL&gt;&lt;FQL&gt;&lt;Q&gt;KEMIRA-FI^FF_CASH_ST(QTR_R,0)&lt;/Q&gt;&lt;R&gt;1&lt;/R&gt;&lt;C&gt;1&lt;/C&gt;&lt;D xsi:type="xsd:double"&gt;384.6&lt;/D&gt;&lt;/FQL&gt;&lt;FQL&gt;&lt;Q&gt;CLX-US^FF_DEBT(QTR_R,0)&lt;/Q&gt;&lt;R&gt;1&lt;/R&gt;&lt;C&gt;1&lt;/C&gt;&lt;D xsi:type="xsd:double"&gt;3447&lt;/D&gt;&lt;/FQL&gt;&lt;FQL&gt;&lt;Q&gt;DD-US^FF_DEBT(QTR_R,0)&lt;/Q&gt;&lt;R&gt;1&lt;/R&gt;&lt;C&gt;1&lt;/C&gt;&lt;D xsi:type="xsd:double"&gt;7617&lt;/D&gt;&lt;/FQL&gt;&lt;FQL&gt;&lt;Q&gt;KEMIRA-FI^FG_COMPANY_NAME&lt;/Q&gt;&lt;R&gt;1&lt;/R&gt;&lt;C&gt;1&lt;/C&gt;&lt;D xsi:type="xsd:string"&gt;Kemira Oyj&lt;/D&gt;&lt;/FQL&gt;&lt;FQL&gt;&lt;Q&gt;PNR-US^FG_COMPANY_NAME&lt;/Q&gt;&lt;R&gt;1&lt;/R&gt;&lt;C&gt;1&lt;/C&gt;&lt;D xsi:type="xsd:string"&gt;Pentair plc&lt;/D&gt;&lt;/FQL&gt;&lt;FQL&gt;&lt;Q&gt;CLX-US^FG_COMPANY_NAME&lt;/Q&gt;&lt;R&gt;1&lt;/R&gt;&lt;C&gt;1&lt;/C&gt;&lt;D xsi:type="xsd:string"&gt;Clorox Company&lt;/D&gt;&lt;/FQL&gt;&lt;FQL&gt;&lt;Q&gt;ECL-US^FG_COMPANY_NAME&lt;/Q&gt;&lt;R&gt;1&lt;/R&gt;&lt;C&gt;1&lt;/C&gt;&lt;D xsi:type="xsd:string"&gt;Ecolab Inc.&lt;/D&gt;&lt;/FQL&gt;&lt;FQL&gt;&lt;Q&gt;CLX-US^FF_CASH_ST(QTR_R,0)&lt;/Q&gt;&lt;R&gt;1&lt;/R&gt;&lt;C&gt;1&lt;/C&gt;&lt;D xsi:type="xsd:double"&gt;202&lt;/D&gt;&lt;/FQL&gt;&lt;FQL&gt;&lt;Q&gt;DD-US^FF_CASH_ST(QTR_R,0)&lt;/Q&gt;&lt;R&gt;1&lt;/R&gt;&lt;C&gt;1&lt;/C&gt;&lt;D xsi:type="xsd:double"&gt;1509&lt;/D&gt;&lt;/FQL&gt;&lt;FQL&gt;&lt;Q&gt;STE-US^FCS_SHARES(TOT,SHS,ANN,0,,,,,M)&lt;/Q&gt;&lt;R&gt;1&lt;/R&gt;&lt;C&gt;1&lt;/C&gt;&lt;D xsi:type="xsd:double"&gt;99.845627&lt;/D&gt;&lt;/FQL&gt;&lt;FQL&gt;&lt;Q&gt;DD-US^FCS_SHARES(TOT,SHS,ANN,0,,,,,M)&lt;/Q&gt;&lt;R&gt;1&lt;/R&gt;&lt;C&gt;1&lt;/C&gt;&lt;D xsi:type="xsd:double"&gt;432.723204&lt;/D&gt;&lt;/FQL&gt;&lt;FQL&gt;&lt;Q&gt;VIE-FR^FE_VALUATION(FFEV_EBITDA,MEAN,ANN,+1,NOW,,,'')&lt;/Q&gt;&lt;R&gt;1&lt;/R&gt;&lt;C&gt;1&lt;/C&gt;&lt;D xsi:type="xsd:double"&gt;7.212047&lt;/D&gt;&lt;/FQL&gt;&lt;FQL&gt;&lt;Q&gt;CLX-US^FE_VALUATION(FFEV_EBITDA,MEAN,ANN,+1,NOW,,,'')&lt;/Q&gt;&lt;R&gt;1&lt;/R&gt;&lt;C&gt;1&lt;/C&gt;&lt;D xsi:type="xsd:double"&gt;15.4531975&lt;/D&gt;&lt;/FQL&gt;&lt;FQL&gt;&lt;Q&gt;DOV-US^FE_VALUATION(FFEV_EBITDA,MEAN,ANN,+1,NOW,,,'')&lt;/Q&gt;&lt;R&gt;1&lt;/R&gt;&lt;C&gt;1&lt;/C&gt;&lt;D xsi:type="xsd:double"&gt;14.777797&lt;/D&gt;&lt;/FQL&gt;&lt;FQL&gt;&lt;Q&gt;ECL-US^FE_VALUATION(FFEV_EBITDA,MEAN,ANN,+1,NOW,,,'')&lt;/Q&gt;&lt;R&gt;1&lt;/R&gt;&lt;C&gt;1&lt;/C&gt;&lt;D xsi:type="xsd:double"&gt;21.46796&lt;/D&gt;&lt;/FQL&gt;&lt;FQL&gt;&lt;Q&gt;PNR-US^FF_SALES(ANN_R,0Y,,,,USD)&lt;/Q&gt;&lt;R&gt;1&lt;/R&gt;&lt;C&gt;1&lt;/C&gt;&lt;D xsi:type="xsd:double"&gt;4104.5&lt;/D&gt;&lt;/FQL&gt;&lt;FQL&gt;&lt;Q&gt;XYL-US^FF_SALES(ANN_R,-2AY,,,,USD)&lt;/Q&gt;&lt;R&gt;1&lt;/R&gt;&lt;C&gt;1&lt;/C&gt;&lt;D xsi:type="xsd:double"&gt;5199&lt;/D&gt;&lt;/FQL&gt;&lt;FQL&gt;&lt;Q&gt;XYL-US^FF_NET_INC(ANN_R,-1AY,,,,USD)&lt;/Q&gt;&lt;R&gt;1&lt;/R&gt;&lt;C&gt;1&lt;/C&gt;&lt;D xsi:type="xsd:double"&gt;355&lt;/D&gt;&lt;/FQL&gt;&lt;FQL&gt;&lt;Q&gt;PNR-US^FCS_SHARES(TOT,SHS,ANN,0,,,,,M)&lt;/Q&gt;&lt;R&gt;1&lt;/R&gt;&lt;C&gt;1&lt;/C&gt;&lt;D xsi:type="xsd:double"&gt;167.208836&lt;/D&gt;&lt;/FQL&gt;&lt;FQL&gt;&lt;Q&gt;KEMIRA-FI^FE_VALUATION(FFEV_EBITDA,MEAN,ANN,+2,NOW,,,'')&lt;/Q&gt;&lt;R&gt;1&lt;/R&gt;&lt;C&gt;1&lt;/C&gt;&lt;D xsi:type="xsd:double"&gt;6.300816&lt;/D&gt;&lt;/FQL&gt;&lt;FQL&gt;&lt;Q&gt;VIE-FR^FE_VALUATION(FFEV_EBITDA,MEAN,ANN,+2,NOW,,,'')&lt;/Q&gt;&lt;R&gt;1&lt;/R&gt;&lt;C&gt;1&lt;/C&gt;&lt;D xsi:type="xsd:double"&gt;6.800306&lt;/D&gt;&lt;/FQL&gt;&lt;FQL&gt;&lt;Q&gt;PNR-US^FE_VALUATION(FFEV_EBITDA,MEAN,ANN,+2,NOW,,,'')&lt;/Q&gt;&lt;R&gt;1&lt;/R&gt;&lt;C&gt;1&lt;/C&gt;&lt;D xsi:type="xsd:double"&gt;14.022465&lt;/D&gt;&lt;/FQL&gt;&lt;FQL&gt;&lt;Q&gt;STE-US^FE_VALUATION(FFEV_EBITDA,MEAN,ANN,+2,NOW,,,'')&lt;/Q&gt;&lt;R&gt;1&lt;/R&gt;&lt;C&gt;1&lt;/C&gt;&lt;D xsi:type="xsd:double"&gt;15.158103&lt;/D&gt;&lt;/FQL&gt;&lt;FQL&gt;&lt;Q&gt;CLX-US^FE_VALUATION(FFEV_EBITDA,MEAN,ANN,+2,NOW,,,'')&lt;/Q&gt;&lt;R&gt;1&lt;/R&gt;&lt;C&gt;1&lt;/C&gt;&lt;D xsi:type="xsd:double"&gt;14.511207&lt;/D&gt;&lt;/FQL&gt;&lt;FQL&gt;&lt;Q&gt;DOV-US^FE_VALUATION(FFEV_EBITDA,MEAN,ANN,+2,NOW,,,'')&lt;/Q&gt;&lt;R&gt;1&lt;/R&gt;&lt;C&gt;1&lt;/C&gt;&lt;D xsi:type="xsd:double"&gt;14.305359&lt;/D&gt;&lt;/FQL&gt;&lt;FQL&gt;&lt;Q&gt;XYL-US^FE_VALUATION(FFEV_EBITDA,MEAN,ANN,+2,NOW,,,'')&lt;/Q&gt;&lt;R&gt;1&lt;/R&gt;&lt;C&gt;1&lt;/C&gt;&lt;D xsi:type="xsd:double"&gt;17.327179&lt;/D&gt;&lt;/FQL&gt;&lt;FQL&gt;&lt;Q&gt;DD-US^FE_VALUATION(FFEV_EBITDA,MEAN,ANN,+2,NOW,,,'')&lt;/Q&gt;&lt;R&gt;1&lt;/R&gt;&lt;C&gt;1&lt;/C&gt;&lt;D xsi:type="xsd:double"&gt;12.063432&lt;/D&gt;&lt;/FQL&gt;&lt;FQL&gt;&lt;Q&gt;ECL-US^FE_VALUATION(FFEV_EBITDA,MEAN,ANN,+2,NOW,,,'')&lt;/Q&gt;&lt;R&gt;1&lt;/R&gt;&lt;C&gt;1&lt;/C&gt;&lt;D xsi:type="xsd:double"&gt;19.988884&lt;/D&gt;&lt;/FQL&gt;&lt;FQL&gt;&lt;Q&gt;ECL-US^FF_CASH_ST(QTR_R,0)&lt;/Q&gt;&lt;R&gt;1&lt;/R&gt;&lt;C&gt;1&lt;/C&gt;&lt;D xsi:type="xsd:double"&gt;384&lt;/D&gt;&lt;/FQL&gt;&lt;FQL&gt;&lt;Q&gt;KEMIRA-FI^FF_SALES(ANN_R,-1AY,,,,USD)&lt;/Q&gt;&lt;R&gt;1&lt;/R&gt;&lt;C&gt;1&lt;/C&gt;&lt;D xsi:type="xsd:double"&gt;3751.55810775757&lt;/D&gt;&lt;/FQL&gt;&lt;FQL&gt;&lt;Q&gt;VIE-FR^FF_SALES(ANN_R,0Y,,,,USD)&lt;/Q&gt;&lt;R&gt;1&lt;/R&gt;&lt;C&gt;1&lt;/C&gt;&lt;D xsi:type="xsd:double"&gt;49029.6737319231&lt;/D&gt;&lt;/FQL&gt;&lt;FQL&gt;&lt;Q&gt;PNR-US^FF_EBITDA_OPER(ANN_R,-1AY,,,,USD)&lt;/Q&gt;&lt;R&gt;1&lt;/R&gt;&lt;C&gt;1&lt;/C&gt;&lt;D xsi:type="xsd:double"&gt;785.4&lt;/D&gt;&lt;/FQL&gt;&lt;FQL&gt;&lt;Q&gt;STE-US^FF_EBITDA_OPER(ANN_R,0Y,,,,USD)&lt;/Q&gt;&lt;R&gt;1&lt;/R&gt;&lt;C&gt;1&lt;/C&gt;&lt;D xsi:type="xsd:double"&gt;1473.085&lt;/D&gt;&lt;/FQL&gt;&lt;FQL&gt;&lt;Q&gt;CLX-US^FF_NET_INC(ANN_R,-1AY,,,,USD)&lt;/Q&gt;&lt;R&gt;1&lt;/R&gt;&lt;C&gt;1&lt;/C&gt;&lt;D xsi:type="xsd:double"&gt;149&lt;/D&gt;&lt;/FQL&gt;&lt;FQL&gt;&lt;Q&gt;DOV-US^FF_NET_INC(ANN_R,0Y,,,,USD)&lt;/Q&gt;&lt;R&gt;1&lt;/R&gt;&lt;C&gt;1&lt;/C&gt;&lt;D xsi:type="xsd:double"&gt;1056.828&lt;/D&gt;&lt;/FQL&gt;&lt;FQL&gt;&lt;Q&gt;DOV-US^FF_SALES(ANN_R,-2AY,,,,USD)&lt;/Q&gt;&lt;R&gt;1&lt;/R&gt;&lt;C&gt;1&lt;/C&gt;&lt;D xsi:type="xsd:double"&gt;7907.081&lt;/D&gt;&lt;/FQL&gt;&lt;FQL&gt;&lt;Q&gt;XYL-US^FF_SALES(ANN_R,-1AY,,,,USD)&lt;/Q&gt;&lt;R&gt;1&lt;/R&gt;&lt;C&gt;1&lt;/C&gt;&lt;D xsi:type="xsd:double"&gt;5541&lt;/D&gt;&lt;/FQL&gt;&lt;FQL&gt;&lt;Q&gt;DD-US^FF_SALES(ANN_R,0Y,,,,USD)&lt;/Q&gt;&lt;R&gt;1&lt;/R&gt;&lt;C&gt;1&lt;/C&gt;&lt;D xsi:type="xsd:double"&gt;12068&lt;/D&gt;&lt;/FQL&gt;&lt;FQL&gt;&lt;Q&gt;ECL-US^FF_EBITDA_OPER(ANN_R,-1AY,,,,USD)&lt;/Q&gt;&lt;R&gt;1&lt;/R&gt;&lt;C&gt;1&lt;/C&gt;&lt;D xsi:type="xsd:double"&gt;2548.2&lt;/D&gt;&lt;/FQL&gt;&lt;FQL&gt;&lt;Q&gt;VIE-FR^FCS_SHARES(TOT,SHS,ANN,0,,,,,M)&lt;/Q&gt;&lt;R&gt;1&lt;/R&gt;&lt;C&gt;1&lt;/C&gt;&lt;D xsi:type="xsd:double"&gt;718.534518&lt;/D&gt;&lt;/FQL&gt;&lt;FQL&gt;&lt;Q&gt;DOV-US^FCS_SHARES(TOT,SHS,ANN,0,,,,,M)&lt;/Q&gt;&lt;R&gt;1&lt;/R&gt;&lt;C&gt;1&lt;/C&gt;&lt;D xsi:type="xsd:double"&gt;140.818815&lt;/D&gt;&lt;/FQL&gt;&lt;FQL&gt;&lt;Q&gt;KEMIRA-FI^FE_VALUATION(FFEV_EBITDA,MEAN,ANN,+1,NOW,,,'')&lt;/Q&gt;&lt;R&gt;1&lt;/R&gt;&lt;C&gt;1&lt;/C&gt;&lt;D xsi:type="xsd:double"&gt;6.160957&lt;/D&gt;&lt;/FQL&gt;&lt;FQL&gt;&lt;Q&gt;XYL-US^FE_VALUATION(FFEV_EBITDA,MEAN,ANN,+1,NOW,,,'')&lt;/Q&gt;&lt;R&gt;1&lt;/R&gt;&lt;C&gt;1&lt;/C&gt;&lt;D xsi:type="xsd:double"&gt;19.079302&lt;/D&gt;&lt;/FQL&gt;&lt;FQL&gt;&lt;Q&gt;KEMIRA-FI^FF_SALES(ANN_R,-2AY,,,,USD)&lt;/Q&gt;&lt;R&gt;1&lt;/R&gt;&lt;C&gt;1&lt;/C&gt;&lt;D xsi:type="xsd:double"&gt;3161.08989953995&lt;/D&gt;&lt;/FQL&gt;&lt;FQL&gt;&lt;Q&gt;XYL-US^FF_NET_INC(ANN_R,0Y,,,,USD)&lt;/Q&gt;&lt;R&gt;1&lt;/R&gt;&lt;C&gt;1&lt;/C&gt;&lt;D xsi:type="xsd:double"&gt;609&lt;/D&gt;&lt;/FQL&gt;&lt;FQL&gt;&lt;Q&gt;DOV-US^FF_EBITDA_OPER(ANN_R,0Y,,,,USD)&lt;/Q&gt;&lt;R&gt;1&lt;/R&gt;&lt;C&gt;1&lt;/C&gt;&lt;D xsi:type="xsd:double"&gt;1747.479&lt;/D&gt;&lt;/FQL&gt;&lt;FQL&gt;&lt;Q&gt;XYL-US^FF_DEBT(QTR_R,0)&lt;/Q&gt;&lt;R&gt;1&lt;/R&gt;&lt;C&gt;1&lt;/C&gt;&lt;D xsi:type="xsd:double"&gt;2104&lt;/D&gt;&lt;/FQL&gt;&lt;FQL&gt;&lt;Q&gt;VIE-FR^FF_CASH_ST(QTR_R,0)&lt;/Q&gt;&lt;R&gt;0&lt;/R&gt;&lt;C&gt;0&lt;/C&gt;&lt;/FQL&gt;&lt;FQL&gt;&lt;Q&gt;STE-US^FE_VALUATION(FFEV_EBITDA,MEAN,ANN,+1,NOW,,,'')&lt;/Q&gt;&lt;R&gt;1&lt;/R&gt;&lt;C&gt;1&lt;/C&gt;&lt;D xsi:type="xsd:double"&gt;16.461596&lt;/D&gt;&lt;/FQL&gt;&lt;FQL&gt;&lt;Q&gt;KEMIRA-FI^FF_NET_INC(ANN_R,0Y,,,,USD)&lt;/Q&gt;&lt;R&gt;1&lt;/R&gt;&lt;C&gt;1&lt;/C&gt;&lt;D xsi:type="xsd:double"&gt;215.25011664629&lt;/D&gt;&lt;/FQL&gt;&lt;FQL&gt;&lt;Q&gt;CLX-US^FF_EBITDA_OPER(ANN_R,0Y,,,,USD)&lt;/Q&gt;&lt;R&gt;1&lt;/R&gt;&lt;C&gt;1&lt;/C&gt;&lt;D xsi:type="xsd:double"&gt;1151&lt;/D&gt;&lt;/FQL&gt;&lt;FQL&gt;&lt;Q&gt;ECL-US^FF_SALES(ANN_R,0Y,,,,USD)&lt;/Q&gt;&lt;R&gt;1&lt;/R&gt;&lt;C&gt;1&lt;/C&gt;&lt;D xsi:type="xsd:double"&gt;15320.2&lt;/D&gt;&lt;/FQL&gt;&lt;FQL&gt;&lt;Q&gt;DD-US^FF_NET_INC(ANN_R,0Y,,,,USD)&lt;/Q&gt;&lt;R&gt;1&lt;/R&gt;&lt;C&gt;1&lt;/C&gt;&lt;D xsi:type="xsd:double"&gt;494&lt;/D&gt;&lt;/FQL&gt;&lt;FQL&gt;&lt;Q&gt;ECL-US^FF_NET_INC(ANN_R,0Y,,,,USD)&lt;/Q&gt;&lt;R&gt;1&lt;/R&gt;&lt;C&gt;1&lt;/C&gt;&lt;D xsi:type="xsd:double"&gt;1372.3&lt;/D&gt;&lt;/FQL&gt;&lt;FQL&gt;&lt;Q&gt;STE-US^FF_DEBT(QTR_R,0)&lt;/Q&gt;&lt;R&gt;1&lt;/R&gt;&lt;C&gt;1&lt;/C&gt;&lt;D xsi:type="xsd:double"&gt;2484.668&lt;/D&gt;&lt;/FQL&gt;&lt;FQL&gt;&lt;Q&gt;ECL-US^FCS_SHARES(TOT,SHS,ANN,0,,,,,M)&lt;/Q&gt;&lt;R&gt;1&lt;/R&gt;&lt;C&gt;1&lt;/C&gt;&lt;D xsi:type="xsd:double"&gt;287.885218&lt;/D&gt;&lt;/FQL&gt;&lt;FQL&gt;&lt;Q&gt;PNR-US^FF_DEBT(QTR_R,0)&lt;/Q&gt;&lt;R&gt;1&lt;/R&gt;&lt;C&gt;1&lt;/C&gt;&lt;D xsi:type="xsd:double"&gt;1885.4&lt;/D&gt;&lt;/FQL&gt;&lt;FQL&gt;&lt;Q&gt;DOV-US^FF_DEBT(QTR_R,0)&lt;/Q&gt;&lt;R&gt;1&lt;/R&gt;&lt;C&gt;1&lt;/C&gt;&lt;D xsi:type="xsd:double"&gt;3171.385&lt;/D&gt;&lt;/FQL&gt;&lt;FQL&gt;&lt;Q&gt;VIE-FR^FG_PRICE(0,,,USD)&lt;/Q&gt;&lt;R&gt;1&lt;/R&gt;&lt;C&gt;1&lt;/C&gt;&lt;D xsi:type="xsd:double"&gt;30.632975&lt;/D&gt;&lt;/FQL&gt;&lt;FQL&gt;&lt;Q&gt;STE-US^FG_PRICE(0,,,USD)&lt;/Q&gt;&lt;R&gt;1&lt;/R&gt;&lt;C&gt;1&lt;/C&gt;&lt;D xsi:type="xsd:double"&gt;233.79&lt;/D&gt;&lt;/FQL&gt;&lt;FQL&gt;&lt;Q&gt;DOV-US^FG_PRICE(0,,,USD)&lt;/Q&gt;&lt;R&gt;1&lt;/R&gt;&lt;C&gt;1&lt;/C&gt;&lt;D xsi:type="xsd:double"&gt;176.65&lt;/D&gt;&lt;/FQL&gt;&lt;FQL&gt;&lt;Q&gt;DD-US^FG_PRICE(0,,,USD)&lt;/Q&gt;&lt;R&gt;1&lt;/R&gt;&lt;C&gt;1&lt;/C&gt;&lt;D xsi:type="xsd:double"&gt;78.83&lt;/D&gt;&lt;/FQL&gt;&lt;FQL&gt;&lt;Q&gt;KEMIRA-FI^FE_VALUATION(FFEV_SALES,MEAN,ANN,+2,NOW,,,'')&lt;/Q&gt;&lt;R&gt;1&lt;/R&gt;&lt;C&gt;1&lt;/C&gt;&lt;D xsi:type="xsd:double"&gt;1.2159193&lt;/D&gt;&lt;/FQL&gt;&lt;FQL&gt;&lt;Q&gt;VIE-FR^FE_VALUATION(FFEV_SALES,MEAN,ANN,+2,NOW,,,'')&lt;/Q&gt;&lt;R&gt;1&lt;/R&gt;&lt;C&gt;1&lt;/C&gt;&lt;D xsi:type="xsd:double"&gt;1.0198839&lt;/D&gt;&lt;/FQL&gt;&lt;FQL&gt;&lt;Q&gt;PNR-US^FE_VALUATION(FFEV_SALES,MEAN,ANN,+2,NOW,,,'')&lt;/Q&gt;&lt;R&gt;1&lt;/R&gt;&lt;C&gt;1&lt;/C&gt;&lt;D xsi:type="xsd:double"&gt;3.638542&lt;/D&gt;&lt;/FQL&gt;&lt;FQL&gt;&lt;Q&gt;STE-US^FE_VALUATION(FFEV_SALES,MEAN,ANN,+2,NOW,,,'')&lt;/Q&gt;&lt;R&gt;1&lt;/R&gt;&lt;C&gt;1&lt;/C&gt;&lt;D xsi:type="xsd:double"&gt;4.341854&lt;/D&gt;&lt;/FQL&gt;&lt;FQL&gt;&lt;Q&gt;CLX-US^FE_VALUATION(FFEV_SALES,MEAN,ANN,+2,NOW,,,'')&lt;/Q&gt;&lt;R&gt;1&lt;/R&gt;&lt;C&gt;1&lt;/C&gt;&lt;D xsi:type="xsd:double"&gt;2.9757516&lt;/D&gt;&lt;/FQL&gt;&lt;FQL&gt;&lt;Q&gt;DOV-US^FE_VALUATION(FFEV_SALES,MEAN,ANN,+2,NOW,,,'')&lt;/Q&gt;&lt;R&gt;1&lt;/R&gt;&lt;C&gt;1&lt;/C&gt;&lt;D xsi:type="xsd:double"&gt;3.1424577&lt;/D&gt;&lt;/FQL&gt;&lt;FQL&gt;&lt;Q&gt;XYL-US^FE_VALUATION(FFEV_SALES,MEAN,ANN,+2,NOW,,,'')&lt;/Q&gt;&lt;R&gt;1&lt;/R&gt;&lt;C&gt;1&lt;/C&gt;&lt;D xsi:type="xsd:double"&gt;3.6743531&lt;/D&gt;&lt;/FQL&gt;&lt;FQL&gt;&lt;Q&gt;DD-US^FE_VALUATION(FFEV_SALES,MEAN,ANN,+2,NOW,,,'')&lt;/Q&gt;&lt;R&gt;1&lt;/R&gt;&lt;C&gt;1&lt;/C&gt;&lt;D xsi:type="xsd:double"&gt;3.0917852&lt;/D&gt;&lt;/FQL&gt;&lt;FQL&gt;&lt;Q&gt;ECL-US^FE_VALUATION(FFEV_SALES,MEAN,ANN,+2,NOW,,,'')&lt;/Q&gt;&lt;R&gt;1&lt;/R&gt;&lt;C&gt;1&lt;/C&gt;&lt;D xsi:type="xsd:double"&gt;4.6450787&lt;/D&gt;&lt;/FQL&gt;&lt;FQL&gt;&lt;Q&gt;KEMIRA-FI^FF_NET_INC(ANN_R,-1AY,,,,USD)&lt;/Q&gt;&lt;R&gt;1&lt;/R&gt;&lt;C&gt;1&lt;/C&gt;&lt;D xsi:type="xsd:double"&gt;243.51076130867&lt;/D&gt;&lt;/FQL&gt;&lt;FQL&gt;&lt;Q&gt;VIE-FR^FF_NET_INC(ANN_R,0Y,,,,USD)&lt;/Q&gt;&lt;R&gt;1&lt;/R&gt;&lt;C&gt;1&lt;/C&gt;&lt;D xsi:type="xsd:double"&gt;1038.95209491253&lt;/D&gt;&lt;/FQL&gt;&lt;FQL&gt;&lt;Q&gt;VIE-FR^FF_SALES(ANN_R,-2AY,,,,USD)&lt;/Q&gt;&lt;R&gt;1&lt;/R&gt;&lt;C&gt;1&lt;/C&gt;&lt;D xsi:type="xsd:double"&gt;33696.0316202044&lt;/D&gt;&lt;/FQL&gt;&lt;FQL&gt;&lt;Q&gt;PNR-US^FF_SALES(ANN_R,-1AY,,,,USD)&lt;/Q&gt;&lt;R&gt;1&lt;/R&gt;&lt;C&gt;1&lt;/C&gt;&lt;D xsi:type="xsd:double"&gt;4121.8&lt;/D&gt;&lt;/FQL&gt;&lt;FQL&gt;&lt;Q&gt;STE-US^FF_SALES(ANN_R,0Y,,,,USD)&lt;/Q&gt;&lt;R&gt;1&lt;/R&gt;&lt;C&gt;1&lt;/C&gt;&lt;D xsi:type="xsd:double"&gt;5138.701&lt;/D&gt;&lt;/FQL&gt;&lt;FQL&gt;&lt;Q&gt;ECL-US^FF_SALES(ANN_R,-1AY,,,,USD)&lt;/Q&gt;&lt;R&gt;1&lt;/R&gt;&lt;C&gt;1&lt;/C&gt;&lt;D xsi:type="xsd:double"&gt;14187.8&lt;/D&gt;&lt;/FQL&gt;&lt;FQL&gt;&lt;Q&gt;ECL-US^FF_SALES(ANN_R,-2AY,,,,USD)&lt;/Q&gt;&lt;R&gt;1&lt;/R&gt;&lt;C&gt;1&lt;/C&gt;&lt;D xsi:type="xsd:double"&gt;12733.1&lt;/D&gt;&lt;/FQL&gt;&lt;FQL&gt;&lt;Q&gt;CLX-US^FCS_SHARES(TOT,SHS,ANN,0,,,,,M)&lt;/Q&gt;&lt;R&gt;1&lt;/R&gt;&lt;C&gt;1&lt;/C&gt;&lt;D xsi:type="xsd:double"&gt;125.532807&lt;/D&gt;&lt;/FQL&gt;&lt;FQL&gt;&lt;Q&gt;PNR-US^FF_CASH_ST(QTR_R,0)&lt;/Q&gt;&lt;R&gt;1&lt;/R&gt;&lt;C&gt;1&lt;/C&gt;&lt;D xsi:type="xsd:double"&gt;214.3&lt;/D&gt;&lt;/FQL&gt;&lt;FQL&gt;&lt;Q&gt;DOV-US^FF_CASH_ST(QTR_R,0)&lt;/Q&gt;&lt;R&gt;1&lt;/R&gt;&lt;C&gt;1&lt;/C&gt;&lt;D xsi:type="xsd:double"&gt;328.752&lt;/D&gt;&lt;/FQL&gt;&lt;FQL&gt;&lt;Q&gt;VIE-FR^FG_COMPANY_NAME&lt;/Q&gt;&lt;R&gt;1&lt;/R&gt;&lt;C&gt;1&lt;/C&gt;&lt;D xsi:type="xsd:string"&gt;Veolia Environnement SA&lt;/D&gt;&lt;/FQL&gt;&lt;FQL&gt;&lt;Q&gt;STE-US^FG_COMPANY_NAME&lt;/Q&gt;&lt;R&gt;1&lt;/R&gt;&lt;C&gt;1&lt;/C&gt;&lt;D xsi:type="xsd:string"&gt;STERIS plc&lt;/D&gt;&lt;/FQL&gt;&lt;FQL&gt;&lt;Q&gt;DOV-US^FG_COMPANY_NAME&lt;/Q&gt;&lt;R&gt;1&lt;/R&gt;&lt;C&gt;1&lt;/C&gt;&lt;D xsi:type="xsd:string"&gt;Dover Corporation&lt;/D&gt;&lt;/FQL&gt;&lt;FQL&gt;&lt;Q&gt;DD-US^FG_COMPANY_NAME&lt;/Q&gt;&lt;R&gt;1&lt;/R&gt;&lt;C&gt;1&lt;/C&gt;&lt;D xsi:type="xsd:string"&gt;DuPont de Nemours, Inc.&lt;/D&gt;&lt;/FQL&gt;&lt;FQL&gt;&lt;Q&gt;KEMIRA-FI^FE_VALUATION(FFEV_SALES,MEAN,ANN,+1,NOW,,,'')&lt;/Q&gt;&lt;R&gt;1&lt;/R&gt;&lt;C&gt;1&lt;/C&gt;&lt;D xsi:type="xsd:double"&gt;1.2281713&lt;/D&gt;&lt;/FQL&gt;&lt;FQL&gt;&lt;Q&gt;VIE-FR^FE_VALUATION(FFEV_SALES,MEAN,ANN,+1,NOW,,,'')&lt;/Q&gt;&lt;R&gt;1&lt;/R&gt;&lt;C&gt;1&lt;/C&gt;&lt;D xsi:type="xsd:double"&gt;1.0628968&lt;/D&gt;&lt;/FQL&gt;&lt;FQL&gt;&lt;Q&gt;PNR-US^FE_VALUATION(FFEV_SALES,MEAN,ANN,+1,NOW,,,'')&lt;/Q&gt;&lt;R&gt;1&lt;/R&gt;&lt;C&gt;1&lt;/C&gt;&lt;D xsi:type="xsd:double"&gt;3.7964225&lt;/D&gt;&lt;/FQL&gt;&lt;FQL&gt;&lt;Q&gt;STE-US^FE_VALUATION(FFEV_SALES,MEAN,ANN,+1,NOW,,,'')&lt;/Q&gt;&lt;R&gt;1&lt;/R&gt;&lt;C&gt;1&lt;/C&gt;&lt;D xsi:type="xsd:double"&gt;4.606286&lt;/D&gt;&lt;/FQL&gt;&lt;FQL&gt;&lt;Q&gt;CLX-US^FE_VALUATION(FFEV_SALES,MEAN,ANN,+1,NOW,,,'')&lt;/Q&gt;&lt;R&gt;1&lt;/R&gt;&lt;C&gt;1&lt;/C&gt;&lt;D xsi:type="xsd:double"&gt;3.0521595&lt;/D&gt;&lt;/FQL&gt;&lt;FQL&gt;&lt;Q&gt;DOV-US^FE_VALUATION(FFEV_SALES,MEAN,ANN,+1,NOW,,,'')&lt;/Q&gt;&lt;R&gt;1&lt;/R&gt;&lt;C&gt;1&lt;/C&gt;&lt;D xsi:type="xsd:double"&gt;3.1677356&lt;/D&gt;&lt;/FQL&gt;&lt;FQL&gt;&lt;Q&gt;XYL-US^FE_VALUATION(FFEV_SALES,MEAN,ANN,+1,NOW,,,'')&lt;/Q&gt;&lt;R&gt;1&lt;/R&gt;&lt;C&gt;1&lt;/C&gt;&lt;D xsi:type="xsd:double"&gt;3.8712785&lt;/D&gt;&lt;/FQL&gt;&lt;FQL&gt;&lt;Q&gt;DD-US^FE_VALUATION(FFEV_SALES,MEAN,ANN,+1,NOW,,,'')&lt;/Q&gt;&lt;R&gt;1&lt;/R&gt;&lt;C&gt;1&lt;/C&gt;&lt;D xsi:type="xsd:double"&gt;3.2663972&lt;/D&gt;&lt;/FQL&gt;&lt;FQL&gt;&lt;Q&gt;ECL-US^FE_VALUATION(FFEV_SALES,MEAN,ANN,+1,NOW,,,'')&lt;/Q&gt;&lt;R&gt;1&lt;/R&gt;&lt;C&gt;1&lt;/C&gt;&lt;D xsi:type="xsd:double"&gt;4.8266964&lt;/D&gt;&lt;/FQL&gt;&lt;FQL&gt;&lt;Q&gt;KEMIRA-FI^FF_EBITDA_OPER(ANN_R,0Y,,,,USD)&lt;/Q&gt;&lt;R&gt;1&lt;/R&gt;&lt;C&gt;1&lt;/C&gt;&lt;D xsi:type="xsd:double"&gt;676.56215&lt;/D&gt;&lt;/FQL&gt;&lt;FQL&gt;&lt;Q&gt;VIE-FR^FF_NET_INC(ANN_R,-1AY,,,,USD)&lt;/Q&gt;&lt;R&gt;1&lt;/R&gt;&lt;C&gt;1&lt;/C&gt;&lt;D xsi:type="xsd:double"&gt;834.894038772583&lt;/D&gt;&lt;/FQL&gt;&lt;FQL&gt;&lt;Q&gt;PNR-US^FF_NET_INC(ANN_R,0Y,,,,USD)&lt;/Q&gt;&lt;R&gt;1&lt;/R&gt;&lt;C&gt;1&lt;/C&gt;&lt;D xsi:type="xsd:double"&gt;622.9&lt;/D&gt;&lt;/FQL&gt;&lt;FQL&gt;&lt;Q&gt;PNR-US^FF_SALES(ANN_R,-2AY,,,,USD)&lt;/Q&gt;&lt;R&gt;1&lt;/R&gt;&lt;C&gt;1&lt;/C&gt;&lt;D xsi:type="xsd:double"&gt;3764.8&lt;/D&gt;&lt;/FQL&gt;&lt;FQL&gt;&lt;Q&gt;STE-US^FF_SALES(ANN_R,-1AY,,,,USD)&lt;/Q&gt;&lt;R&gt;1&lt;/R&gt;&lt;C&gt;1&lt;/C&gt;&lt;D xsi:type="xsd:double"&gt;4536.266&lt;/D&gt;&lt;/FQL&gt;&lt;FQL&gt;&lt;Q&gt;CLX-US^FF_SALES(ANN_R,0Y,,,,USD)&lt;/Q&gt;&lt;R&gt;1&lt;/R&gt;&lt;C&gt;1&lt;/C&gt;&lt;D xsi:type="xsd:double"&gt;7093&lt;/D&gt;&lt;/FQL&gt;&lt;FQL&gt;&lt;Q&gt;DOV-US^FF_EBITDA_OPER(ANN_R,-1AY,,,,USD)&lt;/Q&gt;&lt;R&gt;1&lt;/R&gt;&lt;C&gt;1&lt;/C&gt;&lt;D xsi:type="xsd:double"&gt;1725.858&lt;/D&gt;&lt;/FQL&gt;&lt;FQL&gt;&lt;Q&gt;KEMIRA-FI^FCS_SHARES(TOT,SHS,ANN,0,,,,,M)&lt;/Q&gt;&lt;R&gt;1&lt;/R&gt;&lt;C&gt;1&lt;/C&gt;&lt;D xsi:type="xsd:double"&gt;154.068304&lt;/D&gt;&lt;/FQL&gt;&lt;/Schema&gt;</t>
        </r>
      </text>
    </comment>
  </commentList>
</comments>
</file>

<file path=xl/sharedStrings.xml><?xml version="1.0" encoding="utf-8"?>
<sst xmlns="http://schemas.openxmlformats.org/spreadsheetml/2006/main" count="504" uniqueCount="237">
  <si>
    <t>Global Industrial</t>
  </si>
  <si>
    <t>Product and sold equipment</t>
  </si>
  <si>
    <t>Service and lease equipment</t>
  </si>
  <si>
    <t>Global Institutional &amp; Specialty</t>
  </si>
  <si>
    <t>Global Healthcare &amp; Life Sciences</t>
  </si>
  <si>
    <t>Global Pest Elimination</t>
  </si>
  <si>
    <t>Corporate</t>
  </si>
  <si>
    <t>Total</t>
  </si>
  <si>
    <t>Total product and sold equipment</t>
  </si>
  <si>
    <t>Total service and lease equipment</t>
  </si>
  <si>
    <t>Q2 24</t>
  </si>
  <si>
    <t>Q2 23</t>
  </si>
  <si>
    <t>Global Industrial in total</t>
  </si>
  <si>
    <t>(millions) in USD</t>
  </si>
  <si>
    <t>Global Institutional &amp; Specialty in total</t>
  </si>
  <si>
    <t>Global Healthcare &amp; Life Sciences in total</t>
  </si>
  <si>
    <t>Global Pest Elimination in total</t>
  </si>
  <si>
    <t>Corporate in total</t>
  </si>
  <si>
    <t>Sum</t>
  </si>
  <si>
    <t>Q1 24</t>
  </si>
  <si>
    <t>Q1 23</t>
  </si>
  <si>
    <t>Q3 23</t>
  </si>
  <si>
    <t>Q4 23</t>
  </si>
  <si>
    <t>Q4 22</t>
  </si>
  <si>
    <t>Q3 22</t>
  </si>
  <si>
    <t>Q2 22</t>
  </si>
  <si>
    <t>Q1 22</t>
  </si>
  <si>
    <t>Fiscal year ended December,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</si>
  <si>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</si>
  <si>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</si>
  <si>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</si>
  <si>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</si>
  <si>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</si>
  <si>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</si>
  <si>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</si>
  <si>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</si>
  <si>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</si>
  <si>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</si>
  <si>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</si>
  <si>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</si>
  <si>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Q3 24</t>
  </si>
  <si>
    <t>Q4 24</t>
  </si>
  <si>
    <t>2024E</t>
  </si>
  <si>
    <t>2025E</t>
  </si>
  <si>
    <t>2026E</t>
  </si>
  <si>
    <t>Period ending</t>
  </si>
  <si>
    <t>Days in period</t>
  </si>
  <si>
    <t>Income Statement</t>
  </si>
  <si>
    <t>Income before income taxes</t>
  </si>
  <si>
    <t>Provision for income taxes</t>
  </si>
  <si>
    <t>Net income</t>
  </si>
  <si>
    <t>Earnings per share:</t>
  </si>
  <si>
    <t>Basic</t>
  </si>
  <si>
    <t>Diluted</t>
  </si>
  <si>
    <t>Weighted-average common shares outstanding:</t>
  </si>
  <si>
    <t>Cash Flow Statement</t>
  </si>
  <si>
    <t>Cash flows from operating activities:</t>
  </si>
  <si>
    <t>Depreciation</t>
  </si>
  <si>
    <t>Accounts payable</t>
  </si>
  <si>
    <t>Cash flows from investing activities:</t>
  </si>
  <si>
    <t>Cash flows from financing activities:</t>
  </si>
  <si>
    <t xml:space="preserve">YOY Growth </t>
  </si>
  <si>
    <t>Street-based consensus</t>
  </si>
  <si>
    <t>% of Sales</t>
  </si>
  <si>
    <t>Gross profit</t>
  </si>
  <si>
    <t xml:space="preserve">Gross Margin </t>
  </si>
  <si>
    <t>Operating expenses</t>
  </si>
  <si>
    <t xml:space="preserve">Operating Margin </t>
  </si>
  <si>
    <t>% of EBIT</t>
  </si>
  <si>
    <t xml:space="preserve">Net Margin </t>
  </si>
  <si>
    <t>EBITDA</t>
  </si>
  <si>
    <t xml:space="preserve">EBITDA Margin </t>
  </si>
  <si>
    <t>Ticker</t>
  </si>
  <si>
    <t>Date</t>
  </si>
  <si>
    <t>WACC</t>
  </si>
  <si>
    <t>Revenue</t>
  </si>
  <si>
    <t>--</t>
  </si>
  <si>
    <t>D&amp;A</t>
  </si>
  <si>
    <t>Enterprise Value</t>
  </si>
  <si>
    <t>Equity Value</t>
  </si>
  <si>
    <t>Diluted Shares</t>
  </si>
  <si>
    <t>1 year return scenarios</t>
  </si>
  <si>
    <t>Action</t>
  </si>
  <si>
    <t>P/E</t>
  </si>
  <si>
    <t>12m Target</t>
  </si>
  <si>
    <t>% return</t>
  </si>
  <si>
    <t>Price</t>
  </si>
  <si>
    <t>Last Updated</t>
  </si>
  <si>
    <t>Bull</t>
  </si>
  <si>
    <t>% yoy</t>
  </si>
  <si>
    <t>Base</t>
  </si>
  <si>
    <t>Bear</t>
  </si>
  <si>
    <t>Cap Table</t>
  </si>
  <si>
    <t>Current Price</t>
  </si>
  <si>
    <t>% margin</t>
  </si>
  <si>
    <t>Market Cap</t>
  </si>
  <si>
    <t>Total Debt</t>
  </si>
  <si>
    <t>Adjusted EPS</t>
  </si>
  <si>
    <t>Cash</t>
  </si>
  <si>
    <t>Net Debt</t>
  </si>
  <si>
    <t>Street EPS</t>
  </si>
  <si>
    <t>NCI</t>
  </si>
  <si>
    <t>Expected Delta</t>
  </si>
  <si>
    <t>EV/Sales</t>
  </si>
  <si>
    <t>EV/EBITDA</t>
  </si>
  <si>
    <t>Street P/E</t>
  </si>
  <si>
    <t>3 Year Target</t>
  </si>
  <si>
    <t>2026 EPS</t>
  </si>
  <si>
    <t>Target P/E</t>
  </si>
  <si>
    <t>x money multiple</t>
  </si>
  <si>
    <t>% IRR</t>
  </si>
  <si>
    <t>12 Months Base Target</t>
  </si>
  <si>
    <t>2024 EPS</t>
  </si>
  <si>
    <t>EOY Target Price</t>
  </si>
  <si>
    <t>12 Months Risk Case</t>
  </si>
  <si>
    <t>2024 Risk EPS</t>
  </si>
  <si>
    <t>Next 12 Months Risk</t>
  </si>
  <si>
    <t>ROIC</t>
  </si>
  <si>
    <t>Currency</t>
  </si>
  <si>
    <t>USD million</t>
  </si>
  <si>
    <t>Trading Multiples</t>
  </si>
  <si>
    <t>Current</t>
  </si>
  <si>
    <t>Share</t>
  </si>
  <si>
    <t>Market</t>
  </si>
  <si>
    <t>Enterprise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</si>
  <si>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</si>
  <si>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</si>
  <si>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</si>
  <si>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</si>
  <si>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</si>
  <si>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</si>
  <si>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</si>
  <si>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</si>
  <si>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Count</t>
  </si>
  <si>
    <t>Cap</t>
  </si>
  <si>
    <t>Value</t>
  </si>
  <si>
    <t>21</t>
  </si>
  <si>
    <t>22</t>
  </si>
  <si>
    <t>23</t>
  </si>
  <si>
    <t>'22</t>
  </si>
  <si>
    <t>'23</t>
  </si>
  <si>
    <t>'21-'22</t>
  </si>
  <si>
    <t>'22-'23</t>
  </si>
  <si>
    <t>‘24</t>
  </si>
  <si>
    <t>’25</t>
  </si>
  <si>
    <t>Mean</t>
  </si>
  <si>
    <t>Median</t>
  </si>
  <si>
    <t>Forward Trading Multiple (FY1)</t>
  </si>
  <si>
    <t>2023 Financial Metric</t>
  </si>
  <si>
    <t>Implied Share Price (forward)</t>
  </si>
  <si>
    <t>Calculating Implied Share Price</t>
  </si>
  <si>
    <t>EPS</t>
  </si>
  <si>
    <t>Debt</t>
  </si>
  <si>
    <t>Shares</t>
  </si>
  <si>
    <t>Minimum</t>
  </si>
  <si>
    <t>Maximum</t>
  </si>
  <si>
    <t>DATABASE</t>
  </si>
  <si>
    <t>% of total</t>
  </si>
  <si>
    <t>(millions)</t>
  </si>
  <si>
    <t>United States</t>
  </si>
  <si>
    <t>Europe</t>
  </si>
  <si>
    <t>Asia Pacific</t>
  </si>
  <si>
    <t>Latin America</t>
  </si>
  <si>
    <t>Greater China</t>
  </si>
  <si>
    <t>India, Middle East and Africa</t>
  </si>
  <si>
    <t>Canada</t>
  </si>
  <si>
    <t>Ford and Ecolab have a business relationship dating back to 1925, including collaboration on reducing and reusing water in Ford manufacturing plants. Today, Ecolab operates more than 10,000 light-duty vehicles in its North American fleet, 95% of which are Ford vehicles. During the past decade, Ecolab has purchased more than 31,000 Ford vehicles.</t>
  </si>
  <si>
    <t>Walt Disney Theme Park</t>
  </si>
  <si>
    <t>ECL-US</t>
  </si>
  <si>
    <t>DD-US</t>
  </si>
  <si>
    <t>XYL-US</t>
  </si>
  <si>
    <t>DOV-US</t>
  </si>
  <si>
    <t>STE-US</t>
  </si>
  <si>
    <t>CLX-US</t>
  </si>
  <si>
    <t>PNR-US</t>
  </si>
  <si>
    <t>VIE-FR</t>
  </si>
  <si>
    <t>KEMIRA-FI</t>
  </si>
  <si>
    <t>This sheet contains FactSet XML data for use with this workbook's =FDS codes.  Modifying the worksheet's contents may damage the workbook's =FDS functionality.</t>
  </si>
  <si>
    <t>Total Revenue</t>
  </si>
  <si>
    <t>Cost of sales (including special charges (a))</t>
  </si>
  <si>
    <t>Selling, general and administrative expenses</t>
  </si>
  <si>
    <t>Special (gains) and charges</t>
  </si>
  <si>
    <t>Operating income</t>
  </si>
  <si>
    <t>Other (income) expense (b)</t>
  </si>
  <si>
    <t>Interest expense, net (c)</t>
  </si>
  <si>
    <t>Net income including noncontrolling interest</t>
  </si>
  <si>
    <t>Net income attributable to noncontrolling interest</t>
  </si>
  <si>
    <t>Net income attributable to Ecolab</t>
  </si>
  <si>
    <t>Earnings attributable to Ecolab per common share</t>
  </si>
  <si>
    <t>Weighted-average common shares outstanding</t>
  </si>
  <si>
    <t>Product and equipment cost of sales</t>
  </si>
  <si>
    <t>Service and lease cost of sales</t>
  </si>
  <si>
    <t>Net income (loss) including noncontrolling interest</t>
  </si>
  <si>
    <t>Less: Net income (loss) from discontinued operations including noncontrolling interest</t>
  </si>
  <si>
    <t>Net income from continuing operations including noncontrolling interest</t>
  </si>
  <si>
    <t>Adjustments to reconcile net income to cash provided by operating activities:</t>
  </si>
  <si>
    <t>Amortization</t>
  </si>
  <si>
    <t>Deferred income taxes</t>
  </si>
  <si>
    <t>Share-based compensation expense</t>
  </si>
  <si>
    <t>Pension and postretirement plan contributions</t>
  </si>
  <si>
    <t>Pension and postretirement plan expense, net</t>
  </si>
  <si>
    <t>Restructuring charges, net of cash paid</t>
  </si>
  <si>
    <t>Debt refinancing</t>
  </si>
  <si>
    <t>Other, net</t>
  </si>
  <si>
    <t>Changes in operating assets and liabilities, net of effect of acquisitions:</t>
  </si>
  <si>
    <t>Accounts receivable</t>
  </si>
  <si>
    <t>Inventories</t>
  </si>
  <si>
    <t>Other assets</t>
  </si>
  <si>
    <t>Other liabilities</t>
  </si>
  <si>
    <t>Cash provided by operating activities</t>
  </si>
  <si>
    <t>ECL  08-14-2024</t>
  </si>
  <si>
    <t>Capital expenditures</t>
  </si>
  <si>
    <t>Property and other assets sold</t>
  </si>
  <si>
    <t>Acquisitions and investments in affiliates, net of cash acquired</t>
  </si>
  <si>
    <t>Cash used for investing activities</t>
  </si>
  <si>
    <t>Net (repayments) issuances of commercial paper and notes payable</t>
  </si>
  <si>
    <t>Long-term debt borrowings</t>
  </si>
  <si>
    <t>Long-term debt repayments</t>
  </si>
  <si>
    <t>Reacquired shares</t>
  </si>
  <si>
    <t>Dividends paid</t>
  </si>
  <si>
    <t>Exercise of employee stock options</t>
  </si>
  <si>
    <t>Hedge settlements</t>
  </si>
  <si>
    <t>Cash (used for) provided by financing activities</t>
  </si>
  <si>
    <t>Effect of exchange rate changes on cash and cash equivalents</t>
  </si>
  <si>
    <t>Increase (decrease) in cash and cash equivalents</t>
  </si>
  <si>
    <t>Cash and cash equivalents, beginning of period</t>
  </si>
  <si>
    <t>Cash and cash equivalents, end of period</t>
  </si>
  <si>
    <t>SUPPLEMENTAL CASH FLOW INFORMATION</t>
  </si>
  <si>
    <t>Income taxes paid</t>
  </si>
  <si>
    <t>Net interest paid</t>
  </si>
  <si>
    <t>Cash provided by operating activities - discountinued operations</t>
  </si>
  <si>
    <t>Adjusted EBIT</t>
  </si>
  <si>
    <t>Adjusted EBITDA</t>
  </si>
  <si>
    <t>CAPEX</t>
  </si>
  <si>
    <t>Changes in NWC</t>
  </si>
  <si>
    <t>ECL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</si>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</sst>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m/d/yy;@"/>
    <numFmt numFmtId="167" formatCode="#,##0.0_);\(#,##0.0\)"/>
    <numFmt numFmtId="168" formatCode="0.0_);\(0.0\)"/>
    <numFmt numFmtId="169" formatCode="0.00_);\(0.00\)"/>
    <numFmt numFmtId="170" formatCode="0%;\(0%\)"/>
    <numFmt numFmtId="171" formatCode="#,##0.0%_);\(#,##0.0%\)"/>
    <numFmt numFmtId="172" formatCode="0000\A"/>
    <numFmt numFmtId="173" formatCode="0000\E"/>
    <numFmt numFmtId="174" formatCode="#,##0.0\x"/>
    <numFmt numFmtId="175" formatCode="#,##0.0%;\(#,##0.0%\);&quot;0.0%&quot;;@"/>
    <numFmt numFmtId="176" formatCode="_(* #,##0_);_(* \(#,##0\);_(* &quot;-&quot;??_);_(@_)"/>
    <numFmt numFmtId="177" formatCode="#,##0%;\(#,##0%\);&quot;0.0%&quot;;@"/>
    <numFmt numFmtId="178" formatCode="&quot;$&quot;#,##0.0_);\(&quot;$&quot;#,##0.0\)"/>
    <numFmt numFmtId="179" formatCode="0.0\x;\(0.0\x\);&quot;–&quot;"/>
    <numFmt numFmtId="180" formatCode="0.0\x"/>
    <numFmt numFmtId="181" formatCode="_([$$-409]* #,##0.00_);_([$$-409]* \(#,##0.00\);_([$$-409]* &quot;-&quot;??_);_(@_)"/>
    <numFmt numFmtId="182" formatCode="0.000_);\(0.000\)"/>
  </numFmts>
  <fonts count="3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313233"/>
      <name val="Arial"/>
      <family val="2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5" fillId="0" borderId="0" applyFont="0" applyFill="0" applyBorder="0" applyAlignment="0" applyProtection="0"/>
    <xf numFmtId="0" fontId="3" fillId="2" borderId="0"/>
    <xf numFmtId="0" fontId="5" fillId="2" borderId="0"/>
    <xf numFmtId="9" fontId="3" fillId="2" borderId="0" applyFont="0" applyFill="0" applyBorder="0" applyAlignment="0" applyProtection="0"/>
    <xf numFmtId="0" fontId="25" fillId="2" borderId="0"/>
    <xf numFmtId="44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0" fontId="26" fillId="2" borderId="0"/>
    <xf numFmtId="9" fontId="26" fillId="2" borderId="0" applyFont="0" applyFill="0" applyBorder="0" applyAlignment="0" applyProtection="0"/>
    <xf numFmtId="0" fontId="3" fillId="2" borderId="0"/>
  </cellStyleXfs>
  <cellXfs count="27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2" borderId="0" xfId="1" applyNumberFormat="1" applyFont="1" applyFill="1" applyAlignment="1">
      <alignment horizontal="right"/>
    </xf>
    <xf numFmtId="165" fontId="0" fillId="0" borderId="0" xfId="1" applyNumberFormat="1" applyFont="1" applyAlignment="1">
      <alignment horizontal="right"/>
    </xf>
    <xf numFmtId="0" fontId="7" fillId="2" borderId="0" xfId="2" applyFont="1"/>
    <xf numFmtId="0" fontId="8" fillId="2" borderId="0" xfId="2" applyFont="1"/>
    <xf numFmtId="0" fontId="9" fillId="2" borderId="0" xfId="2" applyFont="1"/>
    <xf numFmtId="7" fontId="10" fillId="2" borderId="0" xfId="2" applyNumberFormat="1" applyFont="1" applyAlignment="1">
      <alignment horizontal="center"/>
    </xf>
    <xf numFmtId="7" fontId="10" fillId="3" borderId="0" xfId="2" applyNumberFormat="1" applyFont="1" applyFill="1" applyAlignment="1">
      <alignment horizontal="center"/>
    </xf>
    <xf numFmtId="0" fontId="3" fillId="2" borderId="0" xfId="2"/>
    <xf numFmtId="0" fontId="7" fillId="4" borderId="1" xfId="2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7" fillId="2" borderId="1" xfId="2" applyFont="1" applyBorder="1" applyAlignment="1">
      <alignment horizontal="center"/>
    </xf>
    <xf numFmtId="166" fontId="3" fillId="2" borderId="0" xfId="2" applyNumberFormat="1"/>
    <xf numFmtId="166" fontId="3" fillId="2" borderId="0" xfId="2" applyNumberFormat="1" applyAlignment="1">
      <alignment horizontal="left" indent="1"/>
    </xf>
    <xf numFmtId="166" fontId="3" fillId="2" borderId="0" xfId="2" applyNumberFormat="1" applyAlignment="1">
      <alignment horizontal="center"/>
    </xf>
    <xf numFmtId="166" fontId="3" fillId="3" borderId="0" xfId="2" applyNumberFormat="1" applyFill="1" applyAlignment="1">
      <alignment horizontal="center"/>
    </xf>
    <xf numFmtId="166" fontId="11" fillId="2" borderId="0" xfId="2" applyNumberFormat="1" applyFont="1" applyAlignment="1">
      <alignment horizontal="center"/>
    </xf>
    <xf numFmtId="166" fontId="11" fillId="3" borderId="0" xfId="2" applyNumberFormat="1" applyFont="1" applyFill="1" applyAlignment="1">
      <alignment horizontal="center"/>
    </xf>
    <xf numFmtId="166" fontId="12" fillId="2" borderId="0" xfId="2" applyNumberFormat="1" applyFont="1" applyAlignment="1">
      <alignment horizontal="center"/>
    </xf>
    <xf numFmtId="166" fontId="12" fillId="3" borderId="0" xfId="2" applyNumberFormat="1" applyFont="1" applyFill="1" applyAlignment="1">
      <alignment horizontal="center"/>
    </xf>
    <xf numFmtId="166" fontId="13" fillId="3" borderId="0" xfId="2" applyNumberFormat="1" applyFont="1" applyFill="1" applyAlignment="1">
      <alignment horizontal="center"/>
    </xf>
    <xf numFmtId="0" fontId="3" fillId="2" borderId="0" xfId="2" applyAlignment="1">
      <alignment horizontal="left" indent="1"/>
    </xf>
    <xf numFmtId="37" fontId="3" fillId="2" borderId="0" xfId="2" applyNumberFormat="1" applyAlignment="1">
      <alignment horizontal="center"/>
    </xf>
    <xf numFmtId="37" fontId="3" fillId="3" borderId="0" xfId="2" applyNumberFormat="1" applyFill="1" applyAlignment="1">
      <alignment horizontal="center"/>
    </xf>
    <xf numFmtId="37" fontId="11" fillId="2" borderId="0" xfId="2" applyNumberFormat="1" applyFont="1" applyAlignment="1">
      <alignment horizontal="center"/>
    </xf>
    <xf numFmtId="37" fontId="11" fillId="3" borderId="0" xfId="2" applyNumberFormat="1" applyFont="1" applyFill="1" applyAlignment="1">
      <alignment horizontal="center"/>
    </xf>
    <xf numFmtId="37" fontId="12" fillId="2" borderId="0" xfId="2" applyNumberFormat="1" applyFont="1" applyAlignment="1">
      <alignment horizontal="center"/>
    </xf>
    <xf numFmtId="37" fontId="12" fillId="3" borderId="0" xfId="2" applyNumberFormat="1" applyFont="1" applyFill="1" applyAlignment="1">
      <alignment horizontal="center"/>
    </xf>
    <xf numFmtId="37" fontId="13" fillId="3" borderId="0" xfId="2" applyNumberFormat="1" applyFont="1" applyFill="1" applyAlignment="1">
      <alignment horizontal="center"/>
    </xf>
    <xf numFmtId="0" fontId="6" fillId="6" borderId="0" xfId="2" applyFont="1" applyFill="1"/>
    <xf numFmtId="0" fontId="3" fillId="6" borderId="0" xfId="2" applyFill="1"/>
    <xf numFmtId="0" fontId="12" fillId="6" borderId="0" xfId="2" applyFont="1" applyFill="1"/>
    <xf numFmtId="167" fontId="12" fillId="3" borderId="0" xfId="2" applyNumberFormat="1" applyFont="1" applyFill="1" applyAlignment="1">
      <alignment horizontal="center" vertical="center"/>
    </xf>
    <xf numFmtId="167" fontId="12" fillId="2" borderId="0" xfId="2" applyNumberFormat="1" applyFont="1" applyAlignment="1">
      <alignment horizontal="center" vertical="center"/>
    </xf>
    <xf numFmtId="0" fontId="7" fillId="2" borderId="0" xfId="2" applyFont="1" applyAlignment="1">
      <alignment horizontal="left" indent="1"/>
    </xf>
    <xf numFmtId="37" fontId="7" fillId="2" borderId="0" xfId="2" applyNumberFormat="1" applyFont="1" applyAlignment="1">
      <alignment horizontal="center"/>
    </xf>
    <xf numFmtId="167" fontId="14" fillId="3" borderId="0" xfId="2" applyNumberFormat="1" applyFont="1" applyFill="1" applyAlignment="1">
      <alignment horizontal="center" vertical="center"/>
    </xf>
    <xf numFmtId="167" fontId="14" fillId="2" borderId="0" xfId="2" applyNumberFormat="1" applyFont="1" applyAlignment="1">
      <alignment horizontal="center" vertical="center"/>
    </xf>
    <xf numFmtId="0" fontId="3" fillId="2" borderId="0" xfId="2" applyAlignment="1">
      <alignment wrapText="1"/>
    </xf>
    <xf numFmtId="167" fontId="12" fillId="4" borderId="0" xfId="2" applyNumberFormat="1" applyFont="1" applyFill="1" applyAlignment="1">
      <alignment horizontal="center" vertical="center"/>
    </xf>
    <xf numFmtId="39" fontId="12" fillId="3" borderId="0" xfId="2" applyNumberFormat="1" applyFont="1" applyFill="1" applyAlignment="1">
      <alignment horizontal="center" vertical="center"/>
    </xf>
    <xf numFmtId="39" fontId="12" fillId="2" borderId="0" xfId="2" applyNumberFormat="1" applyFont="1" applyAlignment="1">
      <alignment horizontal="center" vertical="center"/>
    </xf>
    <xf numFmtId="0" fontId="7" fillId="2" borderId="0" xfId="2" applyFont="1" applyAlignment="1">
      <alignment wrapText="1"/>
    </xf>
    <xf numFmtId="0" fontId="12" fillId="2" borderId="0" xfId="2" applyFont="1"/>
    <xf numFmtId="7" fontId="10" fillId="7" borderId="0" xfId="2" applyNumberFormat="1" applyFont="1" applyFill="1" applyAlignment="1">
      <alignment horizontal="center"/>
    </xf>
    <xf numFmtId="0" fontId="6" fillId="8" borderId="1" xfId="2" applyFont="1" applyFill="1" applyBorder="1" applyAlignment="1">
      <alignment horizontal="center"/>
    </xf>
    <xf numFmtId="166" fontId="3" fillId="7" borderId="0" xfId="2" applyNumberFormat="1" applyFill="1" applyAlignment="1">
      <alignment horizontal="center"/>
    </xf>
    <xf numFmtId="166" fontId="11" fillId="7" borderId="0" xfId="2" applyNumberFormat="1" applyFont="1" applyFill="1" applyAlignment="1">
      <alignment horizontal="center"/>
    </xf>
    <xf numFmtId="166" fontId="12" fillId="7" borderId="0" xfId="2" applyNumberFormat="1" applyFont="1" applyFill="1" applyAlignment="1">
      <alignment horizontal="center"/>
    </xf>
    <xf numFmtId="166" fontId="13" fillId="7" borderId="0" xfId="2" applyNumberFormat="1" applyFont="1" applyFill="1" applyAlignment="1">
      <alignment horizontal="center"/>
    </xf>
    <xf numFmtId="37" fontId="3" fillId="7" borderId="0" xfId="2" applyNumberFormat="1" applyFill="1" applyAlignment="1">
      <alignment horizontal="center"/>
    </xf>
    <xf numFmtId="37" fontId="11" fillId="7" borderId="0" xfId="2" applyNumberFormat="1" applyFont="1" applyFill="1" applyAlignment="1">
      <alignment horizontal="center"/>
    </xf>
    <xf numFmtId="37" fontId="12" fillId="7" borderId="0" xfId="2" applyNumberFormat="1" applyFont="1" applyFill="1" applyAlignment="1">
      <alignment horizontal="center"/>
    </xf>
    <xf numFmtId="37" fontId="13" fillId="7" borderId="0" xfId="2" applyNumberFormat="1" applyFont="1" applyFill="1" applyAlignment="1">
      <alignment horizontal="center"/>
    </xf>
    <xf numFmtId="168" fontId="12" fillId="7" borderId="0" xfId="2" applyNumberFormat="1" applyFont="1" applyFill="1" applyAlignment="1">
      <alignment horizontal="center" vertical="center"/>
    </xf>
    <xf numFmtId="0" fontId="15" fillId="2" borderId="0" xfId="3" applyFont="1" applyAlignment="1">
      <alignment horizontal="left" indent="1"/>
    </xf>
    <xf numFmtId="168" fontId="12" fillId="7" borderId="0" xfId="2" quotePrefix="1" applyNumberFormat="1" applyFont="1" applyFill="1" applyAlignment="1">
      <alignment horizontal="center" vertical="center"/>
    </xf>
    <xf numFmtId="0" fontId="7" fillId="2" borderId="2" xfId="2" applyFont="1" applyBorder="1"/>
    <xf numFmtId="0" fontId="7" fillId="2" borderId="2" xfId="2" applyFont="1" applyBorder="1" applyAlignment="1">
      <alignment horizontal="left" indent="1"/>
    </xf>
    <xf numFmtId="37" fontId="7" fillId="2" borderId="2" xfId="2" applyNumberFormat="1" applyFont="1" applyBorder="1" applyAlignment="1">
      <alignment horizontal="center"/>
    </xf>
    <xf numFmtId="168" fontId="12" fillId="7" borderId="0" xfId="4" applyNumberFormat="1" applyFont="1" applyFill="1" applyAlignment="1">
      <alignment horizontal="center" vertical="center"/>
    </xf>
    <xf numFmtId="0" fontId="16" fillId="2" borderId="0" xfId="3" applyFont="1" applyAlignment="1">
      <alignment horizontal="left" indent="1"/>
    </xf>
    <xf numFmtId="0" fontId="3" fillId="7" borderId="0" xfId="2" applyFill="1"/>
    <xf numFmtId="168" fontId="12" fillId="7" borderId="0" xfId="4" quotePrefix="1" applyNumberFormat="1" applyFont="1" applyFill="1" applyAlignment="1">
      <alignment horizontal="center" vertical="center"/>
    </xf>
    <xf numFmtId="168" fontId="14" fillId="7" borderId="0" xfId="2" applyNumberFormat="1" applyFont="1" applyFill="1" applyAlignment="1">
      <alignment horizontal="center" vertical="center"/>
    </xf>
    <xf numFmtId="0" fontId="17" fillId="2" borderId="0" xfId="2" applyFont="1" applyAlignment="1">
      <alignment horizontal="left" indent="1"/>
    </xf>
    <xf numFmtId="0" fontId="17" fillId="2" borderId="0" xfId="2" applyFont="1"/>
    <xf numFmtId="37" fontId="17" fillId="2" borderId="0" xfId="2" applyNumberFormat="1" applyFont="1" applyAlignment="1">
      <alignment horizontal="center"/>
    </xf>
    <xf numFmtId="0" fontId="18" fillId="2" borderId="0" xfId="3" applyFont="1" applyAlignment="1">
      <alignment horizontal="left" indent="1"/>
    </xf>
    <xf numFmtId="0" fontId="19" fillId="2" borderId="0" xfId="2" applyFont="1" applyAlignment="1">
      <alignment horizontal="left" indent="1"/>
    </xf>
    <xf numFmtId="0" fontId="19" fillId="2" borderId="0" xfId="2" applyFont="1"/>
    <xf numFmtId="37" fontId="19" fillId="2" borderId="0" xfId="2" applyNumberFormat="1" applyFont="1" applyAlignment="1">
      <alignment horizontal="center"/>
    </xf>
    <xf numFmtId="0" fontId="20" fillId="2" borderId="0" xfId="3" applyFont="1" applyAlignment="1">
      <alignment horizontal="left" indent="1"/>
    </xf>
    <xf numFmtId="168" fontId="12" fillId="9" borderId="0" xfId="2" applyNumberFormat="1" applyFont="1" applyFill="1" applyAlignment="1">
      <alignment horizontal="center" vertical="center"/>
    </xf>
    <xf numFmtId="0" fontId="21" fillId="2" borderId="0" xfId="3" applyFont="1" applyAlignment="1">
      <alignment horizontal="left" indent="1"/>
    </xf>
    <xf numFmtId="0" fontId="22" fillId="2" borderId="0" xfId="2" applyFont="1" applyAlignment="1">
      <alignment horizontal="left" indent="1"/>
    </xf>
    <xf numFmtId="0" fontId="22" fillId="2" borderId="0" xfId="2" applyFont="1"/>
    <xf numFmtId="37" fontId="22" fillId="2" borderId="0" xfId="2" applyNumberFormat="1" applyFont="1" applyAlignment="1">
      <alignment horizontal="center"/>
    </xf>
    <xf numFmtId="169" fontId="12" fillId="7" borderId="0" xfId="2" applyNumberFormat="1" applyFont="1" applyFill="1" applyAlignment="1">
      <alignment horizontal="center" vertical="center"/>
    </xf>
    <xf numFmtId="0" fontId="7" fillId="10" borderId="0" xfId="2" applyFont="1" applyFill="1"/>
    <xf numFmtId="168" fontId="12" fillId="6" borderId="0" xfId="2" applyNumberFormat="1" applyFont="1" applyFill="1" applyAlignment="1">
      <alignment horizontal="center" vertical="center"/>
    </xf>
    <xf numFmtId="0" fontId="3" fillId="10" borderId="0" xfId="2" applyFill="1"/>
    <xf numFmtId="168" fontId="12" fillId="10" borderId="0" xfId="2" applyNumberFormat="1" applyFont="1" applyFill="1" applyAlignment="1">
      <alignment horizontal="center" vertical="center"/>
    </xf>
    <xf numFmtId="164" fontId="12" fillId="7" borderId="0" xfId="2" applyNumberFormat="1" applyFont="1" applyFill="1" applyAlignment="1">
      <alignment horizontal="center" vertical="center"/>
    </xf>
    <xf numFmtId="0" fontId="6" fillId="2" borderId="0" xfId="2" applyFont="1"/>
    <xf numFmtId="0" fontId="12" fillId="2" borderId="0" xfId="2" applyFont="1" applyAlignment="1">
      <alignment horizontal="center"/>
    </xf>
    <xf numFmtId="0" fontId="23" fillId="13" borderId="0" xfId="2" applyFont="1" applyFill="1" applyAlignment="1">
      <alignment horizontal="right"/>
    </xf>
    <xf numFmtId="171" fontId="3" fillId="2" borderId="0" xfId="2" applyNumberFormat="1"/>
    <xf numFmtId="172" fontId="8" fillId="14" borderId="0" xfId="2" applyNumberFormat="1" applyFont="1" applyFill="1" applyAlignment="1">
      <alignment horizontal="center"/>
    </xf>
    <xf numFmtId="173" fontId="8" fillId="14" borderId="0" xfId="2" applyNumberFormat="1" applyFont="1" applyFill="1" applyAlignment="1">
      <alignment horizontal="center"/>
    </xf>
    <xf numFmtId="173" fontId="8" fillId="2" borderId="0" xfId="2" applyNumberFormat="1" applyFont="1" applyAlignment="1">
      <alignment horizontal="center"/>
    </xf>
    <xf numFmtId="0" fontId="11" fillId="2" borderId="0" xfId="2" applyFont="1" applyAlignment="1">
      <alignment horizontal="center"/>
    </xf>
    <xf numFmtId="173" fontId="8" fillId="14" borderId="0" xfId="2" applyNumberFormat="1" applyFont="1" applyFill="1" applyAlignment="1">
      <alignment horizontal="centerContinuous"/>
    </xf>
    <xf numFmtId="0" fontId="8" fillId="14" borderId="0" xfId="2" applyFont="1" applyFill="1" applyAlignment="1">
      <alignment horizontal="centerContinuous"/>
    </xf>
    <xf numFmtId="14" fontId="23" fillId="13" borderId="0" xfId="2" applyNumberFormat="1" applyFont="1" applyFill="1" applyAlignment="1">
      <alignment horizontal="right"/>
    </xf>
    <xf numFmtId="5" fontId="14" fillId="2" borderId="0" xfId="2" applyNumberFormat="1" applyFont="1" applyAlignment="1">
      <alignment horizontal="right"/>
    </xf>
    <xf numFmtId="5" fontId="9" fillId="2" borderId="0" xfId="2" applyNumberFormat="1" applyFont="1" applyAlignment="1">
      <alignment horizontal="right"/>
    </xf>
    <xf numFmtId="7" fontId="9" fillId="13" borderId="0" xfId="2" applyNumberFormat="1" applyFont="1" applyFill="1" applyAlignment="1">
      <alignment horizontal="right"/>
    </xf>
    <xf numFmtId="174" fontId="23" fillId="13" borderId="0" xfId="2" applyNumberFormat="1" applyFont="1" applyFill="1" applyAlignment="1">
      <alignment horizontal="right"/>
    </xf>
    <xf numFmtId="7" fontId="14" fillId="2" borderId="0" xfId="2" applyNumberFormat="1" applyFont="1" applyAlignment="1">
      <alignment horizontal="right"/>
    </xf>
    <xf numFmtId="171" fontId="14" fillId="13" borderId="0" xfId="2" applyNumberFormat="1" applyFont="1" applyFill="1" applyAlignment="1">
      <alignment horizontal="right"/>
    </xf>
    <xf numFmtId="171" fontId="3" fillId="2" borderId="0" xfId="2" applyNumberFormat="1" applyAlignment="1">
      <alignment horizontal="right"/>
    </xf>
    <xf numFmtId="175" fontId="12" fillId="2" borderId="0" xfId="2" applyNumberFormat="1" applyFont="1" applyAlignment="1">
      <alignment horizontal="right"/>
    </xf>
    <xf numFmtId="175" fontId="11" fillId="2" borderId="0" xfId="2" applyNumberFormat="1" applyFont="1" applyAlignment="1">
      <alignment horizontal="right"/>
    </xf>
    <xf numFmtId="176" fontId="14" fillId="2" borderId="0" xfId="2" applyNumberFormat="1" applyFont="1" applyAlignment="1">
      <alignment horizontal="right"/>
    </xf>
    <xf numFmtId="7" fontId="11" fillId="2" borderId="0" xfId="2" applyNumberFormat="1" applyFont="1" applyAlignment="1">
      <alignment horizontal="center"/>
    </xf>
    <xf numFmtId="0" fontId="11" fillId="2" borderId="0" xfId="2" applyFont="1"/>
    <xf numFmtId="0" fontId="7" fillId="2" borderId="11" xfId="2" applyFont="1" applyBorder="1"/>
    <xf numFmtId="44" fontId="23" fillId="13" borderId="12" xfId="2" applyNumberFormat="1" applyFont="1" applyFill="1" applyBorder="1" applyAlignment="1">
      <alignment horizontal="right"/>
    </xf>
    <xf numFmtId="0" fontId="3" fillId="2" borderId="11" xfId="2" applyBorder="1"/>
    <xf numFmtId="37" fontId="24" fillId="2" borderId="12" xfId="2" applyNumberFormat="1" applyFont="1" applyBorder="1" applyAlignment="1">
      <alignment horizontal="right"/>
    </xf>
    <xf numFmtId="5" fontId="7" fillId="2" borderId="12" xfId="2" applyNumberFormat="1" applyFont="1" applyBorder="1" applyAlignment="1">
      <alignment horizontal="right"/>
    </xf>
    <xf numFmtId="5" fontId="24" fillId="2" borderId="12" xfId="2" applyNumberFormat="1" applyFont="1" applyBorder="1" applyAlignment="1">
      <alignment horizontal="right"/>
    </xf>
    <xf numFmtId="0" fontId="7" fillId="13" borderId="6" xfId="2" applyFont="1" applyFill="1" applyBorder="1"/>
    <xf numFmtId="7" fontId="14" fillId="13" borderId="7" xfId="2" applyNumberFormat="1" applyFont="1" applyFill="1" applyBorder="1" applyAlignment="1">
      <alignment horizontal="right"/>
    </xf>
    <xf numFmtId="7" fontId="9" fillId="13" borderId="7" xfId="2" applyNumberFormat="1" applyFont="1" applyFill="1" applyBorder="1" applyAlignment="1">
      <alignment horizontal="right"/>
    </xf>
    <xf numFmtId="7" fontId="9" fillId="13" borderId="8" xfId="2" applyNumberFormat="1" applyFont="1" applyFill="1" applyBorder="1" applyAlignment="1">
      <alignment horizontal="right"/>
    </xf>
    <xf numFmtId="7" fontId="9" fillId="2" borderId="0" xfId="2" applyNumberFormat="1" applyFont="1" applyAlignment="1">
      <alignment horizontal="right"/>
    </xf>
    <xf numFmtId="0" fontId="3" fillId="13" borderId="9" xfId="2" applyFill="1" applyBorder="1" applyAlignment="1">
      <alignment horizontal="left" indent="1"/>
    </xf>
    <xf numFmtId="175" fontId="12" fillId="13" borderId="3" xfId="2" applyNumberFormat="1" applyFont="1" applyFill="1" applyBorder="1" applyAlignment="1">
      <alignment horizontal="right"/>
    </xf>
    <xf numFmtId="177" fontId="11" fillId="13" borderId="3" xfId="2" applyNumberFormat="1" applyFont="1" applyFill="1" applyBorder="1" applyAlignment="1">
      <alignment horizontal="right"/>
    </xf>
    <xf numFmtId="175" fontId="11" fillId="13" borderId="3" xfId="2" applyNumberFormat="1" applyFont="1" applyFill="1" applyBorder="1" applyAlignment="1">
      <alignment horizontal="right"/>
    </xf>
    <xf numFmtId="175" fontId="11" fillId="13" borderId="10" xfId="2" applyNumberFormat="1" applyFont="1" applyFill="1" applyBorder="1" applyAlignment="1">
      <alignment horizontal="right"/>
    </xf>
    <xf numFmtId="4" fontId="7" fillId="2" borderId="0" xfId="2" applyNumberFormat="1" applyFont="1"/>
    <xf numFmtId="0" fontId="7" fillId="2" borderId="14" xfId="2" applyFont="1" applyBorder="1"/>
    <xf numFmtId="5" fontId="7" fillId="2" borderId="15" xfId="2" applyNumberFormat="1" applyFont="1" applyBorder="1" applyAlignment="1">
      <alignment horizontal="right"/>
    </xf>
    <xf numFmtId="0" fontId="7" fillId="13" borderId="1" xfId="2" applyFont="1" applyFill="1" applyBorder="1"/>
    <xf numFmtId="0" fontId="7" fillId="13" borderId="2" xfId="2" applyFont="1" applyFill="1" applyBorder="1"/>
    <xf numFmtId="171" fontId="7" fillId="13" borderId="2" xfId="2" applyNumberFormat="1" applyFont="1" applyFill="1" applyBorder="1"/>
    <xf numFmtId="171" fontId="7" fillId="13" borderId="2" xfId="2" applyNumberFormat="1" applyFont="1" applyFill="1" applyBorder="1" applyAlignment="1">
      <alignment horizontal="right"/>
    </xf>
    <xf numFmtId="171" fontId="7" fillId="13" borderId="5" xfId="2" applyNumberFormat="1" applyFont="1" applyFill="1" applyBorder="1" applyAlignment="1">
      <alignment horizontal="right"/>
    </xf>
    <xf numFmtId="171" fontId="7" fillId="2" borderId="0" xfId="2" applyNumberFormat="1" applyFont="1" applyAlignment="1">
      <alignment horizontal="right"/>
    </xf>
    <xf numFmtId="174" fontId="24" fillId="2" borderId="0" xfId="2" applyNumberFormat="1" applyFont="1"/>
    <xf numFmtId="178" fontId="3" fillId="2" borderId="0" xfId="2" applyNumberFormat="1"/>
    <xf numFmtId="179" fontId="7" fillId="2" borderId="0" xfId="2" applyNumberFormat="1" applyFont="1" applyAlignment="1">
      <alignment horizontal="right"/>
    </xf>
    <xf numFmtId="172" fontId="7" fillId="14" borderId="0" xfId="2" applyNumberFormat="1" applyFont="1" applyFill="1" applyAlignment="1">
      <alignment horizontal="center"/>
    </xf>
    <xf numFmtId="172" fontId="7" fillId="2" borderId="0" xfId="2" applyNumberFormat="1" applyFont="1" applyAlignment="1">
      <alignment horizontal="center"/>
    </xf>
    <xf numFmtId="0" fontId="7" fillId="2" borderId="6" xfId="2" applyFont="1" applyBorder="1" applyAlignment="1">
      <alignment horizontal="left"/>
    </xf>
    <xf numFmtId="174" fontId="14" fillId="2" borderId="7" xfId="2" applyNumberFormat="1" applyFont="1" applyBorder="1"/>
    <xf numFmtId="174" fontId="14" fillId="13" borderId="7" xfId="2" applyNumberFormat="1" applyFont="1" applyFill="1" applyBorder="1"/>
    <xf numFmtId="174" fontId="14" fillId="13" borderId="8" xfId="2" applyNumberFormat="1" applyFont="1" applyFill="1" applyBorder="1"/>
    <xf numFmtId="174" fontId="14" fillId="2" borderId="0" xfId="2" applyNumberFormat="1" applyFont="1"/>
    <xf numFmtId="0" fontId="7" fillId="2" borderId="17" xfId="2" applyFont="1" applyBorder="1" applyAlignment="1">
      <alignment horizontal="left"/>
    </xf>
    <xf numFmtId="174" fontId="14" fillId="13" borderId="0" xfId="2" applyNumberFormat="1" applyFont="1" applyFill="1"/>
    <xf numFmtId="174" fontId="14" fillId="13" borderId="13" xfId="2" applyNumberFormat="1" applyFont="1" applyFill="1" applyBorder="1"/>
    <xf numFmtId="0" fontId="7" fillId="2" borderId="9" xfId="2" applyFont="1" applyBorder="1" applyAlignment="1">
      <alignment horizontal="left"/>
    </xf>
    <xf numFmtId="174" fontId="14" fillId="2" borderId="3" xfId="2" applyNumberFormat="1" applyFont="1" applyBorder="1"/>
    <xf numFmtId="174" fontId="14" fillId="13" borderId="3" xfId="2" applyNumberFormat="1" applyFont="1" applyFill="1" applyBorder="1"/>
    <xf numFmtId="174" fontId="14" fillId="13" borderId="10" xfId="2" applyNumberFormat="1" applyFont="1" applyFill="1" applyBorder="1"/>
    <xf numFmtId="0" fontId="3" fillId="2" borderId="0" xfId="2" applyAlignment="1">
      <alignment vertical="center" wrapText="1"/>
    </xf>
    <xf numFmtId="0" fontId="6" fillId="12" borderId="0" xfId="2" applyFont="1" applyFill="1" applyAlignment="1">
      <alignment horizontal="center"/>
    </xf>
    <xf numFmtId="7" fontId="24" fillId="2" borderId="0" xfId="2" applyNumberFormat="1" applyFont="1"/>
    <xf numFmtId="174" fontId="23" fillId="13" borderId="0" xfId="2" applyNumberFormat="1" applyFont="1" applyFill="1"/>
    <xf numFmtId="7" fontId="7" fillId="2" borderId="0" xfId="2" applyNumberFormat="1" applyFont="1"/>
    <xf numFmtId="0" fontId="7" fillId="13" borderId="6" xfId="2" applyFont="1" applyFill="1" applyBorder="1" applyAlignment="1">
      <alignment horizontal="left" indent="1"/>
    </xf>
    <xf numFmtId="171" fontId="7" fillId="13" borderId="8" xfId="2" applyNumberFormat="1" applyFont="1" applyFill="1" applyBorder="1"/>
    <xf numFmtId="0" fontId="7" fillId="13" borderId="17" xfId="2" applyFont="1" applyFill="1" applyBorder="1" applyAlignment="1">
      <alignment horizontal="left" indent="1"/>
    </xf>
    <xf numFmtId="174" fontId="7" fillId="13" borderId="13" xfId="2" applyNumberFormat="1" applyFont="1" applyFill="1" applyBorder="1"/>
    <xf numFmtId="0" fontId="7" fillId="13" borderId="9" xfId="2" applyFont="1" applyFill="1" applyBorder="1" applyAlignment="1">
      <alignment horizontal="left" indent="1"/>
    </xf>
    <xf numFmtId="171" fontId="7" fillId="13" borderId="10" xfId="2" applyNumberFormat="1" applyFont="1" applyFill="1" applyBorder="1"/>
    <xf numFmtId="7" fontId="7" fillId="13" borderId="8" xfId="2" applyNumberFormat="1" applyFont="1" applyFill="1" applyBorder="1"/>
    <xf numFmtId="167" fontId="7" fillId="14" borderId="0" xfId="2" applyNumberFormat="1" applyFont="1" applyFill="1" applyAlignment="1">
      <alignment horizontal="center"/>
    </xf>
    <xf numFmtId="167" fontId="3" fillId="14" borderId="0" xfId="2" applyNumberFormat="1" applyFill="1" applyAlignment="1">
      <alignment horizontal="center"/>
    </xf>
    <xf numFmtId="0" fontId="7" fillId="13" borderId="1" xfId="2" applyFont="1" applyFill="1" applyBorder="1" applyAlignment="1">
      <alignment horizontal="left" indent="1"/>
    </xf>
    <xf numFmtId="10" fontId="7" fillId="13" borderId="18" xfId="2" applyNumberFormat="1" applyFont="1" applyFill="1" applyBorder="1" applyAlignment="1">
      <alignment horizontal="left" indent="1"/>
    </xf>
    <xf numFmtId="10" fontId="7" fillId="13" borderId="16" xfId="2" applyNumberFormat="1" applyFont="1" applyFill="1" applyBorder="1" applyAlignment="1">
      <alignment horizontal="left" indent="1"/>
    </xf>
    <xf numFmtId="0" fontId="4" fillId="0" borderId="0" xfId="0" applyFont="1"/>
    <xf numFmtId="0" fontId="27" fillId="0" borderId="0" xfId="0" applyFont="1"/>
    <xf numFmtId="0" fontId="2" fillId="2" borderId="3" xfId="8" applyFont="1" applyBorder="1" applyAlignment="1">
      <alignment horizontal="center"/>
    </xf>
    <xf numFmtId="0" fontId="7" fillId="2" borderId="3" xfId="8" applyFont="1" applyBorder="1"/>
    <xf numFmtId="0" fontId="2" fillId="2" borderId="3" xfId="8" applyFont="1" applyBorder="1"/>
    <xf numFmtId="0" fontId="29" fillId="2" borderId="3" xfId="8" applyFont="1" applyBorder="1" applyAlignment="1">
      <alignment horizontal="center"/>
    </xf>
    <xf numFmtId="0" fontId="2" fillId="2" borderId="0" xfId="8" applyFont="1" applyAlignment="1">
      <alignment horizontal="center"/>
    </xf>
    <xf numFmtId="0" fontId="7" fillId="2" borderId="0" xfId="8" applyFont="1"/>
    <xf numFmtId="14" fontId="2" fillId="11" borderId="4" xfId="8" applyNumberFormat="1" applyFont="1" applyFill="1" applyBorder="1" applyAlignment="1">
      <alignment horizontal="center"/>
    </xf>
    <xf numFmtId="0" fontId="2" fillId="2" borderId="0" xfId="8" applyFont="1"/>
    <xf numFmtId="0" fontId="29" fillId="2" borderId="0" xfId="8" applyFont="1"/>
    <xf numFmtId="0" fontId="5" fillId="11" borderId="4" xfId="8" applyFont="1" applyFill="1" applyBorder="1" applyAlignment="1">
      <alignment horizontal="center"/>
    </xf>
    <xf numFmtId="0" fontId="7" fillId="14" borderId="0" xfId="8" applyFont="1" applyFill="1" applyAlignment="1">
      <alignment vertical="center"/>
    </xf>
    <xf numFmtId="0" fontId="2" fillId="14" borderId="0" xfId="8" applyFont="1" applyFill="1" applyAlignment="1">
      <alignment horizontal="right" vertical="center"/>
    </xf>
    <xf numFmtId="0" fontId="7" fillId="14" borderId="0" xfId="8" applyFont="1" applyFill="1" applyAlignment="1">
      <alignment horizontal="center" vertical="center"/>
    </xf>
    <xf numFmtId="0" fontId="30" fillId="14" borderId="0" xfId="8" applyFont="1" applyFill="1" applyAlignment="1">
      <alignment horizontal="centerContinuous" vertical="center"/>
    </xf>
    <xf numFmtId="0" fontId="7" fillId="14" borderId="3" xfId="8" applyFont="1" applyFill="1" applyBorder="1" applyAlignment="1">
      <alignment vertical="center"/>
    </xf>
    <xf numFmtId="0" fontId="7" fillId="14" borderId="3" xfId="8" applyFont="1" applyFill="1" applyBorder="1" applyAlignment="1">
      <alignment horizontal="center" vertical="center"/>
    </xf>
    <xf numFmtId="0" fontId="7" fillId="14" borderId="3" xfId="8" quotePrefix="1" applyFont="1" applyFill="1" applyBorder="1" applyAlignment="1">
      <alignment horizontal="center" vertical="center"/>
    </xf>
    <xf numFmtId="0" fontId="7" fillId="2" borderId="0" xfId="8" applyFont="1" applyAlignment="1">
      <alignment vertical="center"/>
    </xf>
    <xf numFmtId="0" fontId="7" fillId="2" borderId="0" xfId="8" applyFont="1" applyAlignment="1">
      <alignment horizontal="center" vertical="center"/>
    </xf>
    <xf numFmtId="0" fontId="7" fillId="2" borderId="0" xfId="8" quotePrefix="1" applyFont="1" applyAlignment="1">
      <alignment horizontal="center" vertical="center"/>
    </xf>
    <xf numFmtId="0" fontId="31" fillId="2" borderId="1" xfId="8" applyFont="1" applyBorder="1"/>
    <xf numFmtId="0" fontId="2" fillId="2" borderId="2" xfId="8" applyFont="1" applyBorder="1"/>
    <xf numFmtId="3" fontId="2" fillId="2" borderId="2" xfId="8" applyNumberFormat="1" applyFont="1" applyBorder="1" applyAlignment="1">
      <alignment horizontal="center" vertical="center"/>
    </xf>
    <xf numFmtId="170" fontId="5" fillId="2" borderId="2" xfId="9" applyNumberFormat="1" applyFont="1" applyBorder="1" applyAlignment="1">
      <alignment horizontal="center"/>
    </xf>
    <xf numFmtId="180" fontId="5" fillId="2" borderId="2" xfId="9" applyNumberFormat="1" applyFont="1" applyBorder="1" applyAlignment="1">
      <alignment horizontal="center"/>
    </xf>
    <xf numFmtId="0" fontId="31" fillId="2" borderId="0" xfId="8" applyFont="1"/>
    <xf numFmtId="0" fontId="2" fillId="2" borderId="7" xfId="8" applyFont="1" applyBorder="1"/>
    <xf numFmtId="3" fontId="2" fillId="2" borderId="0" xfId="8" applyNumberFormat="1" applyFont="1" applyAlignment="1">
      <alignment horizontal="center"/>
    </xf>
    <xf numFmtId="3" fontId="2" fillId="2" borderId="0" xfId="8" applyNumberFormat="1" applyFont="1" applyAlignment="1">
      <alignment horizontal="center" vertical="center"/>
    </xf>
    <xf numFmtId="170" fontId="5" fillId="2" borderId="0" xfId="9" applyNumberFormat="1" applyFont="1" applyBorder="1" applyAlignment="1">
      <alignment horizontal="center"/>
    </xf>
    <xf numFmtId="170" fontId="5" fillId="2" borderId="0" xfId="9" applyNumberFormat="1" applyFont="1" applyAlignment="1">
      <alignment horizontal="center"/>
    </xf>
    <xf numFmtId="170" fontId="11" fillId="2" borderId="2" xfId="9" applyNumberFormat="1" applyFont="1" applyFill="1" applyBorder="1" applyAlignment="1">
      <alignment horizontal="center"/>
    </xf>
    <xf numFmtId="180" fontId="2" fillId="2" borderId="2" xfId="8" applyNumberFormat="1" applyFont="1" applyBorder="1" applyAlignment="1">
      <alignment horizontal="center"/>
    </xf>
    <xf numFmtId="0" fontId="7" fillId="15" borderId="6" xfId="8" applyFont="1" applyFill="1" applyBorder="1"/>
    <xf numFmtId="0" fontId="2" fillId="15" borderId="7" xfId="8" applyFont="1" applyFill="1" applyBorder="1"/>
    <xf numFmtId="170" fontId="7" fillId="15" borderId="7" xfId="8" applyNumberFormat="1" applyFont="1" applyFill="1" applyBorder="1" applyAlignment="1">
      <alignment horizontal="center"/>
    </xf>
    <xf numFmtId="180" fontId="7" fillId="15" borderId="7" xfId="8" applyNumberFormat="1" applyFont="1" applyFill="1" applyBorder="1" applyAlignment="1">
      <alignment horizontal="center"/>
    </xf>
    <xf numFmtId="0" fontId="7" fillId="15" borderId="9" xfId="8" applyFont="1" applyFill="1" applyBorder="1"/>
    <xf numFmtId="0" fontId="2" fillId="15" borderId="3" xfId="8" applyFont="1" applyFill="1" applyBorder="1"/>
    <xf numFmtId="170" fontId="7" fillId="15" borderId="3" xfId="8" applyNumberFormat="1" applyFont="1" applyFill="1" applyBorder="1" applyAlignment="1">
      <alignment horizontal="center"/>
    </xf>
    <xf numFmtId="180" fontId="7" fillId="15" borderId="3" xfId="8" applyNumberFormat="1" applyFont="1" applyFill="1" applyBorder="1" applyAlignment="1">
      <alignment horizontal="center"/>
    </xf>
    <xf numFmtId="0" fontId="11" fillId="2" borderId="0" xfId="8" applyFont="1" applyAlignment="1">
      <alignment horizontal="center"/>
    </xf>
    <xf numFmtId="180" fontId="2" fillId="2" borderId="0" xfId="8" applyNumberFormat="1" applyFont="1" applyAlignment="1">
      <alignment horizontal="center" vertical="center"/>
    </xf>
    <xf numFmtId="4" fontId="31" fillId="2" borderId="0" xfId="8" applyNumberFormat="1" applyFont="1" applyAlignment="1">
      <alignment horizontal="center" vertical="center"/>
    </xf>
    <xf numFmtId="3" fontId="31" fillId="2" borderId="0" xfId="8" applyNumberFormat="1" applyFont="1" applyAlignment="1">
      <alignment horizontal="center" vertical="center"/>
    </xf>
    <xf numFmtId="1" fontId="31" fillId="2" borderId="0" xfId="8" quotePrefix="1" applyNumberFormat="1" applyFont="1" applyAlignment="1">
      <alignment horizontal="center" vertical="center"/>
    </xf>
    <xf numFmtId="3" fontId="2" fillId="2" borderId="0" xfId="8" applyNumberFormat="1" applyFont="1"/>
    <xf numFmtId="3" fontId="2" fillId="2" borderId="0" xfId="8" quotePrefix="1" applyNumberFormat="1" applyFont="1" applyAlignment="1">
      <alignment horizontal="center" vertical="center"/>
    </xf>
    <xf numFmtId="181" fontId="2" fillId="2" borderId="0" xfId="8" quotePrefix="1" applyNumberFormat="1" applyFont="1" applyAlignment="1">
      <alignment vertical="center"/>
    </xf>
    <xf numFmtId="1" fontId="2" fillId="2" borderId="0" xfId="8" quotePrefix="1" applyNumberFormat="1" applyFont="1" applyAlignment="1">
      <alignment horizontal="center" vertical="center"/>
    </xf>
    <xf numFmtId="0" fontId="28" fillId="16" borderId="0" xfId="8" applyFont="1" applyFill="1" applyAlignment="1">
      <alignment horizontal="center"/>
    </xf>
    <xf numFmtId="0" fontId="6" fillId="16" borderId="0" xfId="8" applyFont="1" applyFill="1" applyAlignment="1">
      <alignment vertical="center"/>
    </xf>
    <xf numFmtId="180" fontId="28" fillId="16" borderId="0" xfId="8" applyNumberFormat="1" applyFont="1" applyFill="1" applyAlignment="1">
      <alignment horizontal="center" vertical="center"/>
    </xf>
    <xf numFmtId="0" fontId="6" fillId="16" borderId="0" xfId="8" applyFont="1" applyFill="1" applyAlignment="1">
      <alignment horizontal="center" vertical="center"/>
    </xf>
    <xf numFmtId="3" fontId="28" fillId="16" borderId="0" xfId="8" applyNumberFormat="1" applyFont="1" applyFill="1" applyAlignment="1">
      <alignment horizontal="center" vertical="center"/>
    </xf>
    <xf numFmtId="0" fontId="28" fillId="16" borderId="0" xfId="8" applyFont="1" applyFill="1"/>
    <xf numFmtId="1" fontId="28" fillId="16" borderId="0" xfId="8" quotePrefix="1" applyNumberFormat="1" applyFont="1" applyFill="1" applyAlignment="1">
      <alignment horizontal="center" vertical="center"/>
    </xf>
    <xf numFmtId="0" fontId="6" fillId="16" borderId="0" xfId="8" quotePrefix="1" applyFont="1" applyFill="1" applyAlignment="1">
      <alignment horizontal="center" vertical="center"/>
    </xf>
    <xf numFmtId="0" fontId="32" fillId="2" borderId="0" xfId="8" applyFont="1" applyAlignment="1">
      <alignment horizontal="left"/>
    </xf>
    <xf numFmtId="0" fontId="32" fillId="2" borderId="0" xfId="8" applyFont="1" applyAlignment="1">
      <alignment horizontal="center"/>
    </xf>
    <xf numFmtId="0" fontId="2" fillId="0" borderId="0" xfId="8" applyFont="1" applyFill="1"/>
    <xf numFmtId="4" fontId="2" fillId="2" borderId="0" xfId="8" applyNumberFormat="1" applyFont="1" applyAlignment="1">
      <alignment horizontal="center"/>
    </xf>
    <xf numFmtId="0" fontId="2" fillId="2" borderId="0" xfId="10" applyFont="1"/>
    <xf numFmtId="3" fontId="2" fillId="2" borderId="0" xfId="8" applyNumberFormat="1" applyFont="1" applyAlignment="1">
      <alignment horizontal="center" vertical="justify"/>
    </xf>
    <xf numFmtId="0" fontId="8" fillId="0" borderId="0" xfId="8" quotePrefix="1" applyFont="1" applyFill="1" applyAlignment="1">
      <alignment horizontal="center" vertical="center"/>
    </xf>
    <xf numFmtId="0" fontId="2" fillId="2" borderId="0" xfId="8" applyFont="1" applyAlignment="1">
      <alignment horizontal="center" vertical="top"/>
    </xf>
    <xf numFmtId="10" fontId="2" fillId="2" borderId="0" xfId="4" applyNumberFormat="1" applyFont="1" applyAlignment="1">
      <alignment horizontal="center" vertical="center"/>
    </xf>
    <xf numFmtId="3" fontId="2" fillId="4" borderId="0" xfId="8" applyNumberFormat="1" applyFont="1" applyFill="1" applyAlignment="1">
      <alignment horizontal="center" vertical="center"/>
    </xf>
    <xf numFmtId="165" fontId="2" fillId="2" borderId="0" xfId="4" applyNumberFormat="1" applyFont="1" applyAlignment="1">
      <alignment horizontal="center" vertical="center"/>
    </xf>
    <xf numFmtId="3" fontId="2" fillId="2" borderId="0" xfId="8" applyNumberFormat="1" applyFont="1" applyAlignment="1">
      <alignment vertical="center"/>
    </xf>
    <xf numFmtId="0" fontId="2" fillId="2" borderId="0" xfId="2" applyFont="1"/>
    <xf numFmtId="0" fontId="2" fillId="2" borderId="0" xfId="8" applyFont="1" applyAlignment="1">
      <alignment horizontal="center" vertical="center" wrapText="1"/>
    </xf>
    <xf numFmtId="180" fontId="2" fillId="2" borderId="0" xfId="8" applyNumberFormat="1" applyFont="1" applyAlignment="1">
      <alignment horizontal="center"/>
    </xf>
    <xf numFmtId="0" fontId="2" fillId="2" borderId="0" xfId="8" applyFont="1" applyAlignment="1">
      <alignment vertical="center" wrapText="1"/>
    </xf>
    <xf numFmtId="167" fontId="12" fillId="6" borderId="0" xfId="2" applyNumberFormat="1" applyFont="1" applyFill="1" applyAlignment="1">
      <alignment horizontal="center" vertical="center"/>
    </xf>
    <xf numFmtId="0" fontId="33" fillId="0" borderId="0" xfId="0" applyFont="1"/>
    <xf numFmtId="0" fontId="3" fillId="0" borderId="0" xfId="2" applyFill="1"/>
    <xf numFmtId="167" fontId="2" fillId="2" borderId="0" xfId="2" applyNumberFormat="1" applyFont="1" applyAlignment="1">
      <alignment horizontal="center" vertical="center"/>
    </xf>
    <xf numFmtId="0" fontId="12" fillId="7" borderId="0" xfId="2" applyFont="1" applyFill="1" applyAlignment="1">
      <alignment horizontal="center" vertical="center"/>
    </xf>
    <xf numFmtId="0" fontId="12" fillId="7" borderId="0" xfId="4" applyNumberFormat="1" applyFont="1" applyFill="1" applyAlignment="1">
      <alignment horizontal="center" vertical="center"/>
    </xf>
    <xf numFmtId="164" fontId="12" fillId="10" borderId="0" xfId="2" applyNumberFormat="1" applyFont="1" applyFill="1" applyAlignment="1">
      <alignment horizontal="center" vertical="center"/>
    </xf>
    <xf numFmtId="168" fontId="12" fillId="7" borderId="0" xfId="3" applyNumberFormat="1" applyFont="1" applyFill="1" applyAlignment="1">
      <alignment horizontal="center" vertical="center"/>
    </xf>
    <xf numFmtId="168" fontId="12" fillId="7" borderId="2" xfId="4" quotePrefix="1" applyNumberFormat="1" applyFont="1" applyFill="1" applyBorder="1" applyAlignment="1">
      <alignment horizontal="center" vertical="center"/>
    </xf>
    <xf numFmtId="168" fontId="12" fillId="7" borderId="2" xfId="2" applyNumberFormat="1" applyFont="1" applyFill="1" applyBorder="1" applyAlignment="1">
      <alignment horizontal="center" vertical="center"/>
    </xf>
    <xf numFmtId="169" fontId="12" fillId="10" borderId="0" xfId="2" applyNumberFormat="1" applyFont="1" applyFill="1" applyAlignment="1">
      <alignment horizontal="center" vertical="center"/>
    </xf>
    <xf numFmtId="182" fontId="15" fillId="7" borderId="0" xfId="2" applyNumberFormat="1" applyFont="1" applyFill="1" applyAlignment="1">
      <alignment horizontal="center" vertical="center"/>
    </xf>
    <xf numFmtId="10" fontId="15" fillId="7" borderId="0" xfId="1" applyNumberFormat="1" applyFont="1" applyFill="1" applyAlignment="1">
      <alignment horizontal="center" vertical="center"/>
    </xf>
    <xf numFmtId="10" fontId="18" fillId="7" borderId="0" xfId="1" applyNumberFormat="1" applyFont="1" applyFill="1" applyAlignment="1">
      <alignment horizontal="center" vertical="center"/>
    </xf>
    <xf numFmtId="10" fontId="34" fillId="7" borderId="0" xfId="1" applyNumberFormat="1" applyFont="1" applyFill="1" applyAlignment="1">
      <alignment horizontal="center" vertical="center"/>
    </xf>
    <xf numFmtId="168" fontId="14" fillId="7" borderId="0" xfId="2" quotePrefix="1" applyNumberFormat="1" applyFont="1" applyFill="1" applyAlignment="1">
      <alignment horizontal="center" vertical="center"/>
    </xf>
    <xf numFmtId="0" fontId="35" fillId="2" borderId="0" xfId="2" applyFont="1" applyAlignment="1">
      <alignment horizontal="left" indent="1"/>
    </xf>
    <xf numFmtId="0" fontId="35" fillId="2" borderId="0" xfId="2" applyFont="1"/>
    <xf numFmtId="37" fontId="35" fillId="2" borderId="0" xfId="2" applyNumberFormat="1" applyFont="1" applyAlignment="1">
      <alignment horizontal="center"/>
    </xf>
    <xf numFmtId="168" fontId="35" fillId="7" borderId="0" xfId="2" applyNumberFormat="1" applyFont="1" applyFill="1" applyAlignment="1">
      <alignment horizontal="center" vertical="center"/>
    </xf>
    <xf numFmtId="168" fontId="35" fillId="9" borderId="0" xfId="2" applyNumberFormat="1" applyFont="1" applyFill="1" applyAlignment="1">
      <alignment horizontal="center" vertical="center"/>
    </xf>
    <xf numFmtId="169" fontId="35" fillId="7" borderId="0" xfId="2" applyNumberFormat="1" applyFont="1" applyFill="1" applyAlignment="1">
      <alignment horizontal="center" vertical="center"/>
    </xf>
    <xf numFmtId="0" fontId="1" fillId="10" borderId="0" xfId="2" applyFont="1" applyFill="1"/>
    <xf numFmtId="0" fontId="6" fillId="12" borderId="0" xfId="2" applyFont="1" applyFill="1" applyAlignment="1">
      <alignment horizontal="center"/>
    </xf>
    <xf numFmtId="0" fontId="0" fillId="0" borderId="0" xfId="0" applyAlignment="1">
      <alignment horizontal="center"/>
    </xf>
  </cellXfs>
  <cellStyles count="11">
    <cellStyle name="Currency 2" xfId="6" xr:uid="{1405E3C6-491F-4A9A-960F-8AC027730B2A}"/>
    <cellStyle name="Normal" xfId="0" builtinId="0"/>
    <cellStyle name="Normal 2" xfId="2" xr:uid="{CAB990D4-D423-49D2-A8AE-45763426F576}"/>
    <cellStyle name="Normal 2 2" xfId="5" xr:uid="{F6C89D1C-E057-45B7-BDEB-432B6E72554E}"/>
    <cellStyle name="Normal 3" xfId="8" xr:uid="{26B3D1B7-0EF5-4F33-80DA-BBE8B625426A}"/>
    <cellStyle name="Normal 3 2" xfId="3" xr:uid="{F1A1A095-ED55-423D-892E-2D410514304A}"/>
    <cellStyle name="Normal 4" xfId="10" xr:uid="{651A48F5-D238-4336-BB83-3E724FC3F5B6}"/>
    <cellStyle name="Percent" xfId="1" builtinId="5"/>
    <cellStyle name="Percent 2" xfId="4" xr:uid="{24E967CC-D43C-46D0-B33E-507C5717FF14}"/>
    <cellStyle name="Percent 2 2" xfId="7" xr:uid="{E605D4C7-5469-424B-8C2C-D604AD9854A9}"/>
    <cellStyle name="Percent 3" xfId="9" xr:uid="{418FAA01-950F-4864-803E-3319B90C8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YOY Growth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MOD!$B$6</c:f>
              <c:strCache>
                <c:ptCount val="1"/>
                <c:pt idx="0">
                  <c:v>Global Industrial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(MOD!$Y$2:$AB$2,MOD!$AD$2:$AG$2)</c:f>
              <c:strCache>
                <c:ptCount val="4"/>
                <c:pt idx="0">
                  <c:v>Q1 24</c:v>
                </c:pt>
                <c:pt idx="1">
                  <c:v>Q2 24</c:v>
                </c:pt>
                <c:pt idx="2">
                  <c:v>Q3 24</c:v>
                </c:pt>
                <c:pt idx="3">
                  <c:v>Q4 24</c:v>
                </c:pt>
              </c:strCache>
            </c:strRef>
          </c:cat>
          <c:val>
            <c:numRef>
              <c:f>(MOD!$Y$10:$AB$10,MOD!$AD$10:$AG$10)</c:f>
              <c:numCache>
                <c:formatCode>0.00%</c:formatCode>
                <c:ptCount val="4"/>
                <c:pt idx="0">
                  <c:v>1.6638107346194309E-2</c:v>
                </c:pt>
                <c:pt idx="1">
                  <c:v>1.4139827179890041E-2</c:v>
                </c:pt>
                <c:pt idx="2">
                  <c:v>0.04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7-45BB-8F8C-3D0FB4E1D38B}"/>
            </c:ext>
          </c:extLst>
        </c:ser>
        <c:ser>
          <c:idx val="1"/>
          <c:order val="1"/>
          <c:tx>
            <c:strRef>
              <c:f>MOD!$B$11</c:f>
              <c:strCache>
                <c:ptCount val="1"/>
                <c:pt idx="0">
                  <c:v>Global Institutional &amp; Specialty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(MOD!$Y$2:$AB$2,MOD!$AD$2:$AG$2)</c:f>
              <c:strCache>
                <c:ptCount val="4"/>
                <c:pt idx="0">
                  <c:v>Q1 24</c:v>
                </c:pt>
                <c:pt idx="1">
                  <c:v>Q2 24</c:v>
                </c:pt>
                <c:pt idx="2">
                  <c:v>Q3 24</c:v>
                </c:pt>
                <c:pt idx="3">
                  <c:v>Q4 24</c:v>
                </c:pt>
              </c:strCache>
            </c:strRef>
          </c:cat>
          <c:val>
            <c:numRef>
              <c:f>(MOD!$Y$15:$AB$15,MOD!$AD$15:$AG$15)</c:f>
              <c:numCache>
                <c:formatCode>0.00%</c:formatCode>
                <c:ptCount val="4"/>
                <c:pt idx="0">
                  <c:v>0.12216513111268612</c:v>
                </c:pt>
                <c:pt idx="1">
                  <c:v>7.2079861656972222E-2</c:v>
                </c:pt>
                <c:pt idx="2">
                  <c:v>7.0000000000000007E-2</c:v>
                </c:pt>
                <c:pt idx="3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7-45BB-8F8C-3D0FB4E1D3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7479680"/>
        <c:axId val="1457474400"/>
      </c:lineChart>
      <c:catAx>
        <c:axId val="14574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74400"/>
        <c:crosses val="autoZero"/>
        <c:auto val="1"/>
        <c:lblAlgn val="ctr"/>
        <c:lblOffset val="100"/>
        <c:noMultiLvlLbl val="0"/>
      </c:catAx>
      <c:valAx>
        <c:axId val="14574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81-454A-82DA-D82F11A802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81-454A-82DA-D82F11A802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81-454A-82DA-D82F11A802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F81-454A-82DA-D82F11A802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F81-454A-82DA-D82F11A802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F81-454A-82DA-D82F11A802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F81-454A-82DA-D82F11A802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F81-454A-82DA-D82F11A802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F81-454A-82DA-D82F11A802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C20-43FF-816F-0C65FDF3636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C20-43FF-816F-0C65FDF3636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F81-454A-82DA-D82F11A8025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F81-454A-82DA-D82F11A8025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F81-454A-82DA-D82F11A8025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F81-454A-82DA-D82F11A8025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F81-454A-82DA-D82F11A8025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3F81-454A-82DA-D82F11A8025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3F81-454A-82DA-D82F11A8025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F81-454A-82DA-D82F11A8025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F81-454A-82DA-D82F11A80254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C20-43FF-816F-0C65FDF36369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C20-43FF-816F-0C65FDF3636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'ECL Comps &amp; market share'!$D$54:$D$64</c:f>
              <c:strCache>
                <c:ptCount val="9"/>
                <c:pt idx="0">
                  <c:v>ECL-US</c:v>
                </c:pt>
                <c:pt idx="1">
                  <c:v>DD-US</c:v>
                </c:pt>
                <c:pt idx="2">
                  <c:v>XYL-US</c:v>
                </c:pt>
                <c:pt idx="3">
                  <c:v>DOV-US</c:v>
                </c:pt>
                <c:pt idx="4">
                  <c:v>CLX-US</c:v>
                </c:pt>
                <c:pt idx="5">
                  <c:v>STE-US</c:v>
                </c:pt>
                <c:pt idx="6">
                  <c:v>PNR-US</c:v>
                </c:pt>
                <c:pt idx="7">
                  <c:v>VIE-FR</c:v>
                </c:pt>
                <c:pt idx="8">
                  <c:v>KEMIRA-FI</c:v>
                </c:pt>
              </c:strCache>
            </c:strRef>
          </c:cat>
          <c:val>
            <c:numRef>
              <c:f>'ECL Comps &amp; market share'!$G$54:$G$64</c:f>
              <c:numCache>
                <c:formatCode>#,##0</c:formatCode>
                <c:ptCount val="11"/>
                <c:pt idx="0">
                  <c:v>15320.2</c:v>
                </c:pt>
                <c:pt idx="1">
                  <c:v>12068</c:v>
                </c:pt>
                <c:pt idx="2">
                  <c:v>7367</c:v>
                </c:pt>
                <c:pt idx="3">
                  <c:v>8438.134</c:v>
                </c:pt>
                <c:pt idx="4">
                  <c:v>7093</c:v>
                </c:pt>
                <c:pt idx="5">
                  <c:v>5138.701</c:v>
                </c:pt>
                <c:pt idx="6">
                  <c:v>4104.5</c:v>
                </c:pt>
                <c:pt idx="7">
                  <c:v>49029.673731923103</c:v>
                </c:pt>
                <c:pt idx="8">
                  <c:v>3658.1708673834801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F81-454A-82DA-D82F11A8025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 Breakdown'!$A$5</c:f>
              <c:strCache>
                <c:ptCount val="1"/>
                <c:pt idx="0">
                  <c:v>Global Industrial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 Breakdown'!$B$4:$K$4</c:f>
              <c:strCache>
                <c:ptCount val="10"/>
                <c:pt idx="0">
                  <c:v>Q1 22</c:v>
                </c:pt>
                <c:pt idx="1">
                  <c:v>Q2 22</c:v>
                </c:pt>
                <c:pt idx="2">
                  <c:v>Q3 22</c:v>
                </c:pt>
                <c:pt idx="3">
                  <c:v>Q4 22</c:v>
                </c:pt>
                <c:pt idx="4">
                  <c:v>Q1 23</c:v>
                </c:pt>
                <c:pt idx="5">
                  <c:v>Q2 23</c:v>
                </c:pt>
                <c:pt idx="6">
                  <c:v>Q3 23</c:v>
                </c:pt>
                <c:pt idx="7">
                  <c:v>Q4 23</c:v>
                </c:pt>
                <c:pt idx="8">
                  <c:v>Q1 24</c:v>
                </c:pt>
                <c:pt idx="9">
                  <c:v>Q2 24</c:v>
                </c:pt>
              </c:strCache>
            </c:strRef>
          </c:cat>
          <c:val>
            <c:numRef>
              <c:f>'Rev Breakdown'!$B$8:$K$8</c:f>
              <c:numCache>
                <c:formatCode>0.0</c:formatCode>
                <c:ptCount val="10"/>
                <c:pt idx="0">
                  <c:v>1565.7</c:v>
                </c:pt>
                <c:pt idx="1">
                  <c:v>1689.9</c:v>
                </c:pt>
                <c:pt idx="2">
                  <c:v>1769.6</c:v>
                </c:pt>
                <c:pt idx="3">
                  <c:v>1779.7999999999997</c:v>
                </c:pt>
                <c:pt idx="4">
                  <c:v>1709.4</c:v>
                </c:pt>
                <c:pt idx="5">
                  <c:v>1808.5</c:v>
                </c:pt>
                <c:pt idx="6">
                  <c:v>1841.8</c:v>
                </c:pt>
                <c:pt idx="7">
                  <c:v>1862.1</c:v>
                </c:pt>
                <c:pt idx="8">
                  <c:v>1839.2</c:v>
                </c:pt>
                <c:pt idx="9">
                  <c:v>1936.5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4-493E-A6E0-44FDA2D1C352}"/>
            </c:ext>
          </c:extLst>
        </c:ser>
        <c:ser>
          <c:idx val="1"/>
          <c:order val="1"/>
          <c:tx>
            <c:strRef>
              <c:f>'Rev Breakdown'!$A$10</c:f>
              <c:strCache>
                <c:ptCount val="1"/>
                <c:pt idx="0">
                  <c:v>Global Institutional &amp; Specialty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 Breakdown'!$B$4:$K$4</c:f>
              <c:strCache>
                <c:ptCount val="10"/>
                <c:pt idx="0">
                  <c:v>Q1 22</c:v>
                </c:pt>
                <c:pt idx="1">
                  <c:v>Q2 22</c:v>
                </c:pt>
                <c:pt idx="2">
                  <c:v>Q3 22</c:v>
                </c:pt>
                <c:pt idx="3">
                  <c:v>Q4 22</c:v>
                </c:pt>
                <c:pt idx="4">
                  <c:v>Q1 23</c:v>
                </c:pt>
                <c:pt idx="5">
                  <c:v>Q2 23</c:v>
                </c:pt>
                <c:pt idx="6">
                  <c:v>Q3 23</c:v>
                </c:pt>
                <c:pt idx="7">
                  <c:v>Q4 23</c:v>
                </c:pt>
                <c:pt idx="8">
                  <c:v>Q1 24</c:v>
                </c:pt>
                <c:pt idx="9">
                  <c:v>Q2 24</c:v>
                </c:pt>
              </c:strCache>
            </c:strRef>
          </c:cat>
          <c:val>
            <c:numRef>
              <c:f>'Rev Breakdown'!$B$13:$K$13</c:f>
              <c:numCache>
                <c:formatCode>0.0</c:formatCode>
                <c:ptCount val="10"/>
                <c:pt idx="0">
                  <c:v>1009.4</c:v>
                </c:pt>
                <c:pt idx="1">
                  <c:v>1129.3</c:v>
                </c:pt>
                <c:pt idx="2">
                  <c:v>1166</c:v>
                </c:pt>
                <c:pt idx="3">
                  <c:v>1127.4000000000001</c:v>
                </c:pt>
                <c:pt idx="4">
                  <c:v>1128.8</c:v>
                </c:pt>
                <c:pt idx="5">
                  <c:v>1272.2</c:v>
                </c:pt>
                <c:pt idx="6">
                  <c:v>1313</c:v>
                </c:pt>
                <c:pt idx="7">
                  <c:v>1285.2000000000003</c:v>
                </c:pt>
                <c:pt idx="8">
                  <c:v>1266.7</c:v>
                </c:pt>
                <c:pt idx="9">
                  <c:v>1363.9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74-493E-A6E0-44FDA2D1C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927536"/>
        <c:axId val="34992983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'Rev Breakdown'!$A$15</c15:sqref>
                        </c15:formulaRef>
                      </c:ext>
                    </c:extLst>
                    <c:strCache>
                      <c:ptCount val="1"/>
                      <c:pt idx="0">
                        <c:v>Global Healthcare &amp; Life Sciences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'Rev Breakdown'!$B$4:$K$4</c15:sqref>
                        </c15:formulaRef>
                      </c:ext>
                    </c:extLst>
                    <c:strCache>
                      <c:ptCount val="10"/>
                      <c:pt idx="0">
                        <c:v>Q1 22</c:v>
                      </c:pt>
                      <c:pt idx="1">
                        <c:v>Q2 22</c:v>
                      </c:pt>
                      <c:pt idx="2">
                        <c:v>Q3 22</c:v>
                      </c:pt>
                      <c:pt idx="3">
                        <c:v>Q4 22</c:v>
                      </c:pt>
                      <c:pt idx="4">
                        <c:v>Q1 23</c:v>
                      </c:pt>
                      <c:pt idx="5">
                        <c:v>Q2 23</c:v>
                      </c:pt>
                      <c:pt idx="6">
                        <c:v>Q3 23</c:v>
                      </c:pt>
                      <c:pt idx="7">
                        <c:v>Q4 23</c:v>
                      </c:pt>
                      <c:pt idx="8">
                        <c:v>Q1 24</c:v>
                      </c:pt>
                      <c:pt idx="9">
                        <c:v>Q2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'Rev Breakdown'!$B$18:$K$18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362.8</c:v>
                      </c:pt>
                      <c:pt idx="1">
                        <c:v>390.9</c:v>
                      </c:pt>
                      <c:pt idx="2">
                        <c:v>356.6</c:v>
                      </c:pt>
                      <c:pt idx="3">
                        <c:v>400.19999999999987</c:v>
                      </c:pt>
                      <c:pt idx="4">
                        <c:v>379.70000000000005</c:v>
                      </c:pt>
                      <c:pt idx="5">
                        <c:v>390.79999999999995</c:v>
                      </c:pt>
                      <c:pt idx="6">
                        <c:v>406.2</c:v>
                      </c:pt>
                      <c:pt idx="7">
                        <c:v>409.29999999999995</c:v>
                      </c:pt>
                      <c:pt idx="8">
                        <c:v>379.90000000000003</c:v>
                      </c:pt>
                      <c:pt idx="9">
                        <c:v>389.7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074-493E-A6E0-44FDA2D1C35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Breakdown'!$A$20</c15:sqref>
                        </c15:formulaRef>
                      </c:ext>
                    </c:extLst>
                    <c:strCache>
                      <c:ptCount val="1"/>
                      <c:pt idx="0">
                        <c:v>Global Pest Elimination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Breakdown'!$B$4:$K$4</c15:sqref>
                        </c15:formulaRef>
                      </c:ext>
                    </c:extLst>
                    <c:strCache>
                      <c:ptCount val="10"/>
                      <c:pt idx="0">
                        <c:v>Q1 22</c:v>
                      </c:pt>
                      <c:pt idx="1">
                        <c:v>Q2 22</c:v>
                      </c:pt>
                      <c:pt idx="2">
                        <c:v>Q3 22</c:v>
                      </c:pt>
                      <c:pt idx="3">
                        <c:v>Q4 22</c:v>
                      </c:pt>
                      <c:pt idx="4">
                        <c:v>Q1 23</c:v>
                      </c:pt>
                      <c:pt idx="5">
                        <c:v>Q2 23</c:v>
                      </c:pt>
                      <c:pt idx="6">
                        <c:v>Q3 23</c:v>
                      </c:pt>
                      <c:pt idx="7">
                        <c:v>Q4 23</c:v>
                      </c:pt>
                      <c:pt idx="8">
                        <c:v>Q1 24</c:v>
                      </c:pt>
                      <c:pt idx="9">
                        <c:v>Q2 24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Breakdown'!$B$23:$K$23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294</c:v>
                      </c:pt>
                      <c:pt idx="1">
                        <c:v>336.6</c:v>
                      </c:pt>
                      <c:pt idx="2">
                        <c:v>349.4</c:v>
                      </c:pt>
                      <c:pt idx="3">
                        <c:v>336.4</c:v>
                      </c:pt>
                      <c:pt idx="4">
                        <c:v>330</c:v>
                      </c:pt>
                      <c:pt idx="5">
                        <c:v>363.9</c:v>
                      </c:pt>
                      <c:pt idx="6">
                        <c:v>382.1</c:v>
                      </c:pt>
                      <c:pt idx="7">
                        <c:v>368.19999999999987</c:v>
                      </c:pt>
                      <c:pt idx="8">
                        <c:v>266.10000000000002</c:v>
                      </c:pt>
                      <c:pt idx="9">
                        <c:v>295.7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74-493E-A6E0-44FDA2D1C35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Breakdown'!$A$25</c15:sqref>
                        </c15:formulaRef>
                      </c:ext>
                    </c:extLst>
                    <c:strCache>
                      <c:ptCount val="1"/>
                      <c:pt idx="0">
                        <c:v>Corporate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Breakdown'!$B$4:$K$4</c15:sqref>
                        </c15:formulaRef>
                      </c:ext>
                    </c:extLst>
                    <c:strCache>
                      <c:ptCount val="10"/>
                      <c:pt idx="0">
                        <c:v>Q1 22</c:v>
                      </c:pt>
                      <c:pt idx="1">
                        <c:v>Q2 22</c:v>
                      </c:pt>
                      <c:pt idx="2">
                        <c:v>Q3 22</c:v>
                      </c:pt>
                      <c:pt idx="3">
                        <c:v>Q4 22</c:v>
                      </c:pt>
                      <c:pt idx="4">
                        <c:v>Q1 23</c:v>
                      </c:pt>
                      <c:pt idx="5">
                        <c:v>Q2 23</c:v>
                      </c:pt>
                      <c:pt idx="6">
                        <c:v>Q3 23</c:v>
                      </c:pt>
                      <c:pt idx="7">
                        <c:v>Q4 23</c:v>
                      </c:pt>
                      <c:pt idx="8">
                        <c:v>Q1 24</c:v>
                      </c:pt>
                      <c:pt idx="9">
                        <c:v>Q2 24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Breakdown'!$B$28:$K$28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34.800000000000004</c:v>
                      </c:pt>
                      <c:pt idx="1">
                        <c:v>33.9</c:v>
                      </c:pt>
                      <c:pt idx="2">
                        <c:v>27.7</c:v>
                      </c:pt>
                      <c:pt idx="3">
                        <c:v>27.4</c:v>
                      </c:pt>
                      <c:pt idx="4">
                        <c:v>23.7</c:v>
                      </c:pt>
                      <c:pt idx="5">
                        <c:v>16.7</c:v>
                      </c:pt>
                      <c:pt idx="6">
                        <c:v>15</c:v>
                      </c:pt>
                      <c:pt idx="7">
                        <c:v>13.599999999999998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74-493E-A6E0-44FDA2D1C352}"/>
                  </c:ext>
                </c:extLst>
              </c15:ser>
            </c15:filteredBarSeries>
          </c:ext>
        </c:extLst>
      </c:barChart>
      <c:catAx>
        <c:axId val="3499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9832"/>
        <c:crosses val="autoZero"/>
        <c:auto val="1"/>
        <c:lblAlgn val="ctr"/>
        <c:lblOffset val="100"/>
        <c:noMultiLvlLbl val="0"/>
      </c:catAx>
      <c:valAx>
        <c:axId val="34992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YOY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 Breakdown'!$A$5</c:f>
              <c:strCache>
                <c:ptCount val="1"/>
                <c:pt idx="0">
                  <c:v>Global Industrial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 Breakdown'!$F$4:$K$4</c:f>
              <c:strCache>
                <c:ptCount val="6"/>
                <c:pt idx="0">
                  <c:v>Q1 23</c:v>
                </c:pt>
                <c:pt idx="1">
                  <c:v>Q2 23</c:v>
                </c:pt>
                <c:pt idx="2">
                  <c:v>Q3 23</c:v>
                </c:pt>
                <c:pt idx="3">
                  <c:v>Q4 23</c:v>
                </c:pt>
                <c:pt idx="4">
                  <c:v>Q1 24</c:v>
                </c:pt>
                <c:pt idx="5">
                  <c:v>Q2 24</c:v>
                </c:pt>
              </c:strCache>
            </c:strRef>
          </c:cat>
          <c:val>
            <c:numRef>
              <c:f>'Rev Breakdown'!$F$10:$K$10</c:f>
              <c:numCache>
                <c:formatCode>0.0%</c:formatCode>
                <c:ptCount val="6"/>
                <c:pt idx="0">
                  <c:v>9.178003448936578E-2</c:v>
                </c:pt>
                <c:pt idx="1">
                  <c:v>7.0181667554293004E-2</c:v>
                </c:pt>
                <c:pt idx="2">
                  <c:v>4.0800180831826349E-2</c:v>
                </c:pt>
                <c:pt idx="3">
                  <c:v>4.6241150691088917E-2</c:v>
                </c:pt>
                <c:pt idx="4">
                  <c:v>7.5933075933075855E-2</c:v>
                </c:pt>
                <c:pt idx="5">
                  <c:v>7.0776886922864213E-2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4-49A9-AA8A-E82F5423804F}"/>
            </c:ext>
          </c:extLst>
        </c:ser>
        <c:ser>
          <c:idx val="1"/>
          <c:order val="1"/>
          <c:tx>
            <c:strRef>
              <c:f>'Rev Breakdown'!$A$10</c:f>
              <c:strCache>
                <c:ptCount val="1"/>
                <c:pt idx="0">
                  <c:v>Global Institutional &amp; Specialty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'Rev Breakdown'!$F$15:$K$15</c:f>
              <c:numCache>
                <c:formatCode>0.0%</c:formatCode>
                <c:ptCount val="6"/>
                <c:pt idx="0">
                  <c:v>0.11828809193580336</c:v>
                </c:pt>
                <c:pt idx="1">
                  <c:v>0.12653856371203398</c:v>
                </c:pt>
                <c:pt idx="2">
                  <c:v>0.12607204116638071</c:v>
                </c:pt>
                <c:pt idx="3">
                  <c:v>0.13996806812134133</c:v>
                </c:pt>
                <c:pt idx="4">
                  <c:v>0.12216513111268612</c:v>
                </c:pt>
                <c:pt idx="5">
                  <c:v>7.2079861656972222E-2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B4-49A9-AA8A-E82F542380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3402560"/>
        <c:axId val="563398952"/>
      </c:lineChart>
      <c:catAx>
        <c:axId val="5634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98952"/>
        <c:crosses val="autoZero"/>
        <c:auto val="1"/>
        <c:lblAlgn val="ctr"/>
        <c:lblOffset val="100"/>
        <c:noMultiLvlLbl val="0"/>
      </c:catAx>
      <c:valAx>
        <c:axId val="5633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0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'Rev Breakdown'!$A$15</c:f>
              <c:strCache>
                <c:ptCount val="1"/>
                <c:pt idx="0">
                  <c:v>Global Healthcare &amp; Life Sciences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'Rev Breakdown'!$B$4:$K$4</c:f>
              <c:strCache>
                <c:ptCount val="10"/>
                <c:pt idx="0">
                  <c:v>Q1 22</c:v>
                </c:pt>
                <c:pt idx="1">
                  <c:v>Q2 22</c:v>
                </c:pt>
                <c:pt idx="2">
                  <c:v>Q3 22</c:v>
                </c:pt>
                <c:pt idx="3">
                  <c:v>Q4 22</c:v>
                </c:pt>
                <c:pt idx="4">
                  <c:v>Q1 23</c:v>
                </c:pt>
                <c:pt idx="5">
                  <c:v>Q2 23</c:v>
                </c:pt>
                <c:pt idx="6">
                  <c:v>Q3 23</c:v>
                </c:pt>
                <c:pt idx="7">
                  <c:v>Q4 23</c:v>
                </c:pt>
                <c:pt idx="8">
                  <c:v>Q1 24</c:v>
                </c:pt>
                <c:pt idx="9">
                  <c:v>Q2 24</c:v>
                </c:pt>
              </c:strCache>
              <c:extLst xmlns:c15="http://schemas.microsoft.com/office/drawing/2012/chart"/>
            </c:strRef>
          </c:cat>
          <c:val>
            <c:numRef>
              <c:f>'Rev Breakdown'!$B$18:$K$18</c:f>
              <c:numCache>
                <c:formatCode>0.0</c:formatCode>
                <c:ptCount val="10"/>
                <c:pt idx="0">
                  <c:v>362.8</c:v>
                </c:pt>
                <c:pt idx="1">
                  <c:v>390.9</c:v>
                </c:pt>
                <c:pt idx="2">
                  <c:v>356.6</c:v>
                </c:pt>
                <c:pt idx="3">
                  <c:v>400.19999999999987</c:v>
                </c:pt>
                <c:pt idx="4">
                  <c:v>379.70000000000005</c:v>
                </c:pt>
                <c:pt idx="5">
                  <c:v>390.79999999999995</c:v>
                </c:pt>
                <c:pt idx="6">
                  <c:v>406.2</c:v>
                </c:pt>
                <c:pt idx="7">
                  <c:v>409.29999999999995</c:v>
                </c:pt>
                <c:pt idx="8">
                  <c:v>379.90000000000003</c:v>
                </c:pt>
                <c:pt idx="9">
                  <c:v>389.7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9D8-4129-9F16-94784138DB9F}"/>
            </c:ext>
          </c:extLst>
        </c:ser>
        <c:ser>
          <c:idx val="3"/>
          <c:order val="3"/>
          <c:tx>
            <c:strRef>
              <c:f>'Rev Breakdown'!$A$20</c:f>
              <c:strCache>
                <c:ptCount val="1"/>
                <c:pt idx="0">
                  <c:v>Global Pest Elimination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'Rev Breakdown'!$B$4:$K$4</c:f>
              <c:strCache>
                <c:ptCount val="10"/>
                <c:pt idx="0">
                  <c:v>Q1 22</c:v>
                </c:pt>
                <c:pt idx="1">
                  <c:v>Q2 22</c:v>
                </c:pt>
                <c:pt idx="2">
                  <c:v>Q3 22</c:v>
                </c:pt>
                <c:pt idx="3">
                  <c:v>Q4 22</c:v>
                </c:pt>
                <c:pt idx="4">
                  <c:v>Q1 23</c:v>
                </c:pt>
                <c:pt idx="5">
                  <c:v>Q2 23</c:v>
                </c:pt>
                <c:pt idx="6">
                  <c:v>Q3 23</c:v>
                </c:pt>
                <c:pt idx="7">
                  <c:v>Q4 23</c:v>
                </c:pt>
                <c:pt idx="8">
                  <c:v>Q1 24</c:v>
                </c:pt>
                <c:pt idx="9">
                  <c:v>Q2 24</c:v>
                </c:pt>
              </c:strCache>
              <c:extLst xmlns:c15="http://schemas.microsoft.com/office/drawing/2012/chart"/>
            </c:strRef>
          </c:cat>
          <c:val>
            <c:numRef>
              <c:f>'Rev Breakdown'!$B$23:$K$23</c:f>
              <c:numCache>
                <c:formatCode>0.0</c:formatCode>
                <c:ptCount val="10"/>
                <c:pt idx="0">
                  <c:v>294</c:v>
                </c:pt>
                <c:pt idx="1">
                  <c:v>336.6</c:v>
                </c:pt>
                <c:pt idx="2">
                  <c:v>349.4</c:v>
                </c:pt>
                <c:pt idx="3">
                  <c:v>336.4</c:v>
                </c:pt>
                <c:pt idx="4">
                  <c:v>330</c:v>
                </c:pt>
                <c:pt idx="5">
                  <c:v>363.9</c:v>
                </c:pt>
                <c:pt idx="6">
                  <c:v>382.1</c:v>
                </c:pt>
                <c:pt idx="7">
                  <c:v>368.19999999999987</c:v>
                </c:pt>
                <c:pt idx="8">
                  <c:v>266.10000000000002</c:v>
                </c:pt>
                <c:pt idx="9">
                  <c:v>295.7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9D8-4129-9F16-94784138DB9F}"/>
            </c:ext>
          </c:extLst>
        </c:ser>
        <c:ser>
          <c:idx val="4"/>
          <c:order val="4"/>
          <c:tx>
            <c:strRef>
              <c:f>'Rev Breakdown'!$A$25</c:f>
              <c:strCache>
                <c:ptCount val="1"/>
                <c:pt idx="0">
                  <c:v>Corporate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 Breakdown'!$B$4:$K$4</c:f>
              <c:strCache>
                <c:ptCount val="10"/>
                <c:pt idx="0">
                  <c:v>Q1 22</c:v>
                </c:pt>
                <c:pt idx="1">
                  <c:v>Q2 22</c:v>
                </c:pt>
                <c:pt idx="2">
                  <c:v>Q3 22</c:v>
                </c:pt>
                <c:pt idx="3">
                  <c:v>Q4 22</c:v>
                </c:pt>
                <c:pt idx="4">
                  <c:v>Q1 23</c:v>
                </c:pt>
                <c:pt idx="5">
                  <c:v>Q2 23</c:v>
                </c:pt>
                <c:pt idx="6">
                  <c:v>Q3 23</c:v>
                </c:pt>
                <c:pt idx="7">
                  <c:v>Q4 23</c:v>
                </c:pt>
                <c:pt idx="8">
                  <c:v>Q1 24</c:v>
                </c:pt>
                <c:pt idx="9">
                  <c:v>Q2 24</c:v>
                </c:pt>
              </c:strCache>
              <c:extLst xmlns:c15="http://schemas.microsoft.com/office/drawing/2012/chart"/>
            </c:strRef>
          </c:cat>
          <c:val>
            <c:numRef>
              <c:f>'Rev Breakdown'!$B$28:$K$28</c:f>
              <c:numCache>
                <c:formatCode>0.0</c:formatCode>
                <c:ptCount val="10"/>
                <c:pt idx="0">
                  <c:v>34.800000000000004</c:v>
                </c:pt>
                <c:pt idx="1">
                  <c:v>33.9</c:v>
                </c:pt>
                <c:pt idx="2">
                  <c:v>27.7</c:v>
                </c:pt>
                <c:pt idx="3">
                  <c:v>27.4</c:v>
                </c:pt>
                <c:pt idx="4">
                  <c:v>23.7</c:v>
                </c:pt>
                <c:pt idx="5">
                  <c:v>16.7</c:v>
                </c:pt>
                <c:pt idx="6">
                  <c:v>15</c:v>
                </c:pt>
                <c:pt idx="7">
                  <c:v>13.599999999999998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E9D8-4129-9F16-94784138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927536"/>
        <c:axId val="34992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'Rev Breakdown'!$A$5</c15:sqref>
                        </c15:formulaRef>
                      </c:ext>
                    </c:extLst>
                    <c:strCache>
                      <c:ptCount val="1"/>
                      <c:pt idx="0">
                        <c:v>Global Industrial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'Rev Breakdown'!$B$4:$K$4</c15:sqref>
                        </c15:formulaRef>
                      </c:ext>
                    </c:extLst>
                    <c:strCache>
                      <c:ptCount val="10"/>
                      <c:pt idx="0">
                        <c:v>Q1 22</c:v>
                      </c:pt>
                      <c:pt idx="1">
                        <c:v>Q2 22</c:v>
                      </c:pt>
                      <c:pt idx="2">
                        <c:v>Q3 22</c:v>
                      </c:pt>
                      <c:pt idx="3">
                        <c:v>Q4 22</c:v>
                      </c:pt>
                      <c:pt idx="4">
                        <c:v>Q1 23</c:v>
                      </c:pt>
                      <c:pt idx="5">
                        <c:v>Q2 23</c:v>
                      </c:pt>
                      <c:pt idx="6">
                        <c:v>Q3 23</c:v>
                      </c:pt>
                      <c:pt idx="7">
                        <c:v>Q4 23</c:v>
                      </c:pt>
                      <c:pt idx="8">
                        <c:v>Q1 24</c:v>
                      </c:pt>
                      <c:pt idx="9">
                        <c:v>Q2 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'Rev Breakdown'!$B$8:$K$8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1565.7</c:v>
                      </c:pt>
                      <c:pt idx="1">
                        <c:v>1689.9</c:v>
                      </c:pt>
                      <c:pt idx="2">
                        <c:v>1769.6</c:v>
                      </c:pt>
                      <c:pt idx="3">
                        <c:v>1779.7999999999997</c:v>
                      </c:pt>
                      <c:pt idx="4">
                        <c:v>1709.4</c:v>
                      </c:pt>
                      <c:pt idx="5">
                        <c:v>1808.5</c:v>
                      </c:pt>
                      <c:pt idx="6">
                        <c:v>1841.8</c:v>
                      </c:pt>
                      <c:pt idx="7">
                        <c:v>1862.1</c:v>
                      </c:pt>
                      <c:pt idx="8">
                        <c:v>1839.2</c:v>
                      </c:pt>
                      <c:pt idx="9">
                        <c:v>1936.5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9D8-4129-9F16-94784138DB9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Breakdown'!$A$10</c15:sqref>
                        </c15:formulaRef>
                      </c:ext>
                    </c:extLst>
                    <c:strCache>
                      <c:ptCount val="1"/>
                      <c:pt idx="0">
                        <c:v>Global Institutional &amp; Specialty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Breakdown'!$B$4:$K$4</c15:sqref>
                        </c15:formulaRef>
                      </c:ext>
                    </c:extLst>
                    <c:strCache>
                      <c:ptCount val="10"/>
                      <c:pt idx="0">
                        <c:v>Q1 22</c:v>
                      </c:pt>
                      <c:pt idx="1">
                        <c:v>Q2 22</c:v>
                      </c:pt>
                      <c:pt idx="2">
                        <c:v>Q3 22</c:v>
                      </c:pt>
                      <c:pt idx="3">
                        <c:v>Q4 22</c:v>
                      </c:pt>
                      <c:pt idx="4">
                        <c:v>Q1 23</c:v>
                      </c:pt>
                      <c:pt idx="5">
                        <c:v>Q2 23</c:v>
                      </c:pt>
                      <c:pt idx="6">
                        <c:v>Q3 23</c:v>
                      </c:pt>
                      <c:pt idx="7">
                        <c:v>Q4 23</c:v>
                      </c:pt>
                      <c:pt idx="8">
                        <c:v>Q1 24</c:v>
                      </c:pt>
                      <c:pt idx="9">
                        <c:v>Q2 24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 Breakdown'!$B$13:$K$13</c15:sqref>
                        </c15:formulaRef>
                      </c:ext>
                    </c:extLst>
                    <c:numCache>
                      <c:formatCode>0.0</c:formatCode>
                      <c:ptCount val="10"/>
                      <c:pt idx="0">
                        <c:v>1009.4</c:v>
                      </c:pt>
                      <c:pt idx="1">
                        <c:v>1129.3</c:v>
                      </c:pt>
                      <c:pt idx="2">
                        <c:v>1166</c:v>
                      </c:pt>
                      <c:pt idx="3">
                        <c:v>1127.4000000000001</c:v>
                      </c:pt>
                      <c:pt idx="4">
                        <c:v>1128.8</c:v>
                      </c:pt>
                      <c:pt idx="5">
                        <c:v>1272.2</c:v>
                      </c:pt>
                      <c:pt idx="6">
                        <c:v>1313</c:v>
                      </c:pt>
                      <c:pt idx="7">
                        <c:v>1285.2000000000003</c:v>
                      </c:pt>
                      <c:pt idx="8">
                        <c:v>1266.7</c:v>
                      </c:pt>
                      <c:pt idx="9">
                        <c:v>1363.9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D8-4129-9F16-94784138DB9F}"/>
                  </c:ext>
                </c:extLst>
              </c15:ser>
            </c15:filteredBarSeries>
          </c:ext>
        </c:extLst>
      </c:barChart>
      <c:catAx>
        <c:axId val="3499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9832"/>
        <c:crosses val="autoZero"/>
        <c:auto val="1"/>
        <c:lblAlgn val="ctr"/>
        <c:lblOffset val="100"/>
        <c:noMultiLvlLbl val="0"/>
      </c:catAx>
      <c:valAx>
        <c:axId val="34992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B6-D944-A115-9C9F7F9608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B6-D944-A115-9C9F7F9608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B6-D944-A115-9C9F7F9608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B6-D944-A115-9C9F7F9608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('Rev Breakdown'!$A$5,'Rev Breakdown'!$A$10,'Rev Breakdown'!$A$15,'Rev Breakdown'!$A$20)</c:f>
              <c:strCache>
                <c:ptCount val="4"/>
                <c:pt idx="0">
                  <c:v>Global Industrial</c:v>
                </c:pt>
                <c:pt idx="1">
                  <c:v>Global Institutional &amp; Specialty</c:v>
                </c:pt>
                <c:pt idx="2">
                  <c:v>Global Healthcare &amp; Life Sciences</c:v>
                </c:pt>
                <c:pt idx="3">
                  <c:v>Global Pest Elimination</c:v>
                </c:pt>
              </c:strCache>
            </c:strRef>
          </c:cat>
          <c:val>
            <c:numRef>
              <c:f>('Rev Breakdown'!$K$9,'Rev Breakdown'!$K$14,'Rev Breakdown'!$K$19,'Rev Breakdown'!$K$24)</c:f>
              <c:numCache>
                <c:formatCode>0.0%</c:formatCode>
                <c:ptCount val="4"/>
                <c:pt idx="0">
                  <c:v>0.48584976667168445</c:v>
                </c:pt>
                <c:pt idx="1">
                  <c:v>0.34218977369662301</c:v>
                </c:pt>
                <c:pt idx="2">
                  <c:v>9.7772090922775848E-2</c:v>
                </c:pt>
                <c:pt idx="3">
                  <c:v>7.4188368708916652E-2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72-4139-B638-4D4E7532B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Industrial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'Regional Breakdown'!$A$5</c:f>
              <c:strCache>
                <c:ptCount val="1"/>
                <c:pt idx="0">
                  <c:v>United States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Breakdown'!$B$5:$F$5</c:f>
              <c:numCache>
                <c:formatCode>General</c:formatCode>
                <c:ptCount val="5"/>
                <c:pt idx="0">
                  <c:v>2668.1</c:v>
                </c:pt>
                <c:pt idx="1">
                  <c:v>2564.3000000000002</c:v>
                </c:pt>
                <c:pt idx="2">
                  <c:v>2603</c:v>
                </c:pt>
                <c:pt idx="3">
                  <c:v>2945.1</c:v>
                </c:pt>
                <c:pt idx="4">
                  <c:v>3059.3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9-459C-B605-89A62380B95D}"/>
            </c:ext>
          </c:extLst>
        </c:ser>
        <c:ser>
          <c:idx val="1"/>
          <c:order val="1"/>
          <c:tx>
            <c:strRef>
              <c:f>'Regional Breakdown'!$A$6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Breakdown'!$B$6:$F$6</c:f>
              <c:numCache>
                <c:formatCode>General</c:formatCode>
                <c:ptCount val="5"/>
                <c:pt idx="0">
                  <c:v>1204.2</c:v>
                </c:pt>
                <c:pt idx="1">
                  <c:v>1262.5999999999999</c:v>
                </c:pt>
                <c:pt idx="2">
                  <c:v>1367.1</c:v>
                </c:pt>
                <c:pt idx="3">
                  <c:v>1373.6</c:v>
                </c:pt>
                <c:pt idx="4">
                  <c:v>1496.6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A9-459C-B605-89A62380B95D}"/>
            </c:ext>
          </c:extLst>
        </c:ser>
        <c:ser>
          <c:idx val="2"/>
          <c:order val="2"/>
          <c:tx>
            <c:strRef>
              <c:f>'Regional Breakdown'!$A$7</c:f>
              <c:strCache>
                <c:ptCount val="1"/>
                <c:pt idx="0">
                  <c:v>Asia Pacific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Breakdown'!$B$7:$F$7</c:f>
              <c:numCache>
                <c:formatCode>General</c:formatCode>
                <c:ptCount val="5"/>
                <c:pt idx="0">
                  <c:v>774.3</c:v>
                </c:pt>
                <c:pt idx="1">
                  <c:v>747.2</c:v>
                </c:pt>
                <c:pt idx="2">
                  <c:v>802.5</c:v>
                </c:pt>
                <c:pt idx="3">
                  <c:v>830.1</c:v>
                </c:pt>
                <c:pt idx="4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A9-459C-B605-89A62380B95D}"/>
            </c:ext>
          </c:extLst>
        </c:ser>
        <c:ser>
          <c:idx val="3"/>
          <c:order val="3"/>
          <c:tx>
            <c:strRef>
              <c:f>'Regional Breakdown'!$A$8</c:f>
              <c:strCache>
                <c:ptCount val="1"/>
                <c:pt idx="0">
                  <c:v>Latin America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Breakdown'!$B$8:$F$8</c:f>
              <c:numCache>
                <c:formatCode>General</c:formatCode>
                <c:ptCount val="5"/>
                <c:pt idx="0">
                  <c:v>525.79999999999995</c:v>
                </c:pt>
                <c:pt idx="1">
                  <c:v>491.7</c:v>
                </c:pt>
                <c:pt idx="2">
                  <c:v>551.5</c:v>
                </c:pt>
                <c:pt idx="3">
                  <c:v>621.70000000000005</c:v>
                </c:pt>
                <c:pt idx="4">
                  <c:v>737.2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A9-459C-B605-89A62380B95D}"/>
            </c:ext>
          </c:extLst>
        </c:ser>
        <c:ser>
          <c:idx val="4"/>
          <c:order val="4"/>
          <c:tx>
            <c:strRef>
              <c:f>'Regional Breakdown'!$A$9</c:f>
              <c:strCache>
                <c:ptCount val="1"/>
                <c:pt idx="0">
                  <c:v>Greater China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Breakdown'!$B$9:$F$9</c:f>
              <c:numCache>
                <c:formatCode>General</c:formatCode>
                <c:ptCount val="5"/>
                <c:pt idx="0">
                  <c:v>325.39999999999998</c:v>
                </c:pt>
                <c:pt idx="1">
                  <c:v>333</c:v>
                </c:pt>
                <c:pt idx="2">
                  <c:v>394.9</c:v>
                </c:pt>
                <c:pt idx="3">
                  <c:v>419.3</c:v>
                </c:pt>
                <c:pt idx="4">
                  <c:v>391.4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A9-459C-B605-89A62380B95D}"/>
            </c:ext>
          </c:extLst>
        </c:ser>
        <c:ser>
          <c:idx val="5"/>
          <c:order val="5"/>
          <c:tx>
            <c:strRef>
              <c:f>'Regional Breakdown'!$A$10</c:f>
              <c:strCache>
                <c:ptCount val="1"/>
                <c:pt idx="0">
                  <c:v>India, Middle East and Africa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Breakdown'!$B$10:$F$10</c:f>
              <c:numCache>
                <c:formatCode>General</c:formatCode>
                <c:ptCount val="5"/>
                <c:pt idx="0">
                  <c:v>319</c:v>
                </c:pt>
                <c:pt idx="1">
                  <c:v>314.10000000000002</c:v>
                </c:pt>
                <c:pt idx="2">
                  <c:v>344.4</c:v>
                </c:pt>
                <c:pt idx="3">
                  <c:v>419.4</c:v>
                </c:pt>
                <c:pt idx="4">
                  <c:v>452.1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A9-459C-B605-89A62380B95D}"/>
            </c:ext>
          </c:extLst>
        </c:ser>
        <c:ser>
          <c:idx val="6"/>
          <c:order val="6"/>
          <c:tx>
            <c:strRef>
              <c:f>'Regional Breakdown'!$A$11</c:f>
              <c:strCache>
                <c:ptCount val="1"/>
                <c:pt idx="0">
                  <c:v>Canada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Breakdown'!$B$11:$F$11</c:f>
              <c:numCache>
                <c:formatCode>General</c:formatCode>
                <c:ptCount val="5"/>
                <c:pt idx="0">
                  <c:v>163.4</c:v>
                </c:pt>
                <c:pt idx="1">
                  <c:v>157.9</c:v>
                </c:pt>
                <c:pt idx="2">
                  <c:v>174.4</c:v>
                </c:pt>
                <c:pt idx="3">
                  <c:v>195.8</c:v>
                </c:pt>
                <c:pt idx="4">
                  <c:v>205.2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A9-459C-B605-89A62380B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3391736"/>
        <c:axId val="563392720"/>
      </c:barChart>
      <c:catAx>
        <c:axId val="56339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92720"/>
        <c:crosses val="autoZero"/>
        <c:auto val="1"/>
        <c:lblAlgn val="ctr"/>
        <c:lblOffset val="100"/>
        <c:noMultiLvlLbl val="0"/>
      </c:catAx>
      <c:valAx>
        <c:axId val="563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9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Institutional</a:t>
            </a:r>
            <a:r>
              <a:rPr lang="en-US" baseline="0"/>
              <a:t> &amp; Specialty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'Regional Breakdown'!$I$5</c:f>
              <c:strCache>
                <c:ptCount val="1"/>
                <c:pt idx="0">
                  <c:v>United States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Breakdown'!$J$5:$N$5</c:f>
              <c:numCache>
                <c:formatCode>General</c:formatCode>
                <c:ptCount val="5"/>
                <c:pt idx="0">
                  <c:v>3021.3</c:v>
                </c:pt>
                <c:pt idx="1">
                  <c:v>2400.4</c:v>
                </c:pt>
                <c:pt idx="2">
                  <c:v>2721.8</c:v>
                </c:pt>
                <c:pt idx="3">
                  <c:v>3050</c:v>
                </c:pt>
                <c:pt idx="4">
                  <c:v>3454.2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A-4A2C-BC76-AFE320476D66}"/>
            </c:ext>
          </c:extLst>
        </c:ser>
        <c:ser>
          <c:idx val="2"/>
          <c:order val="1"/>
          <c:tx>
            <c:strRef>
              <c:f>'Regional Breakdown'!$I$6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Breakdown'!$J$6:$N$6</c:f>
              <c:numCache>
                <c:formatCode>General</c:formatCode>
                <c:ptCount val="5"/>
                <c:pt idx="0">
                  <c:v>622.29999999999995</c:v>
                </c:pt>
                <c:pt idx="1">
                  <c:v>510.3</c:v>
                </c:pt>
                <c:pt idx="2">
                  <c:v>557.9</c:v>
                </c:pt>
                <c:pt idx="3">
                  <c:v>624</c:v>
                </c:pt>
                <c:pt idx="4">
                  <c:v>681.9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9A-4A2C-BC76-AFE320476D66}"/>
            </c:ext>
          </c:extLst>
        </c:ser>
        <c:ser>
          <c:idx val="3"/>
          <c:order val="2"/>
          <c:tx>
            <c:strRef>
              <c:f>'Regional Breakdown'!$I$7</c:f>
              <c:strCache>
                <c:ptCount val="1"/>
                <c:pt idx="0">
                  <c:v>Asia Pacific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Breakdown'!$J$7:$N$7</c:f>
              <c:numCache>
                <c:formatCode>General</c:formatCode>
                <c:ptCount val="5"/>
                <c:pt idx="0">
                  <c:v>235.7</c:v>
                </c:pt>
                <c:pt idx="1">
                  <c:v>203.9</c:v>
                </c:pt>
                <c:pt idx="2">
                  <c:v>201.5</c:v>
                </c:pt>
                <c:pt idx="3">
                  <c:v>212.6</c:v>
                </c:pt>
                <c:pt idx="4">
                  <c:v>231.2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9A-4A2C-BC76-AFE320476D66}"/>
            </c:ext>
          </c:extLst>
        </c:ser>
        <c:ser>
          <c:idx val="4"/>
          <c:order val="3"/>
          <c:tx>
            <c:strRef>
              <c:f>'Regional Breakdown'!$I$8</c:f>
              <c:strCache>
                <c:ptCount val="1"/>
                <c:pt idx="0">
                  <c:v>Latin America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Breakdown'!$J$8:$N$8</c:f>
              <c:numCache>
                <c:formatCode>General</c:formatCode>
                <c:ptCount val="5"/>
                <c:pt idx="0">
                  <c:v>162.19999999999999</c:v>
                </c:pt>
                <c:pt idx="1">
                  <c:v>128.30000000000001</c:v>
                </c:pt>
                <c:pt idx="2">
                  <c:v>135</c:v>
                </c:pt>
                <c:pt idx="3">
                  <c:v>162.30000000000001</c:v>
                </c:pt>
                <c:pt idx="4">
                  <c:v>188.3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A-4A2C-BC76-AFE320476D66}"/>
            </c:ext>
          </c:extLst>
        </c:ser>
        <c:ser>
          <c:idx val="5"/>
          <c:order val="4"/>
          <c:tx>
            <c:strRef>
              <c:f>'Regional Breakdown'!$I$9</c:f>
              <c:strCache>
                <c:ptCount val="1"/>
                <c:pt idx="0">
                  <c:v>Greater China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Breakdown'!$J$9:$N$9</c:f>
              <c:numCache>
                <c:formatCode>General</c:formatCode>
                <c:ptCount val="5"/>
                <c:pt idx="0">
                  <c:v>119.4</c:v>
                </c:pt>
                <c:pt idx="1">
                  <c:v>114.9</c:v>
                </c:pt>
                <c:pt idx="2">
                  <c:v>132.30000000000001</c:v>
                </c:pt>
                <c:pt idx="3">
                  <c:v>134.69999999999999</c:v>
                </c:pt>
                <c:pt idx="4">
                  <c:v>158.5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9A-4A2C-BC76-AFE320476D66}"/>
            </c:ext>
          </c:extLst>
        </c:ser>
        <c:ser>
          <c:idx val="6"/>
          <c:order val="5"/>
          <c:tx>
            <c:strRef>
              <c:f>'Regional Breakdown'!$I$10</c:f>
              <c:strCache>
                <c:ptCount val="1"/>
                <c:pt idx="0">
                  <c:v>India, Middle East and Africa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Breakdown'!$J$10:$N$10</c:f>
              <c:numCache>
                <c:formatCode>General</c:formatCode>
                <c:ptCount val="5"/>
                <c:pt idx="0">
                  <c:v>52.2</c:v>
                </c:pt>
                <c:pt idx="1">
                  <c:v>39.799999999999997</c:v>
                </c:pt>
                <c:pt idx="2">
                  <c:v>44.2</c:v>
                </c:pt>
                <c:pt idx="3">
                  <c:v>54.6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9A-4A2C-BC76-AFE320476D66}"/>
            </c:ext>
          </c:extLst>
        </c:ser>
        <c:ser>
          <c:idx val="7"/>
          <c:order val="6"/>
          <c:tx>
            <c:strRef>
              <c:f>'Regional Breakdown'!$I$11</c:f>
              <c:strCache>
                <c:ptCount val="1"/>
                <c:pt idx="0">
                  <c:v>Canada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'Regional Breakdown'!$J$3:$N$3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'Regional Breakdown'!$J$11:$N$11</c:f>
              <c:numCache>
                <c:formatCode>General</c:formatCode>
                <c:ptCount val="5"/>
                <c:pt idx="0">
                  <c:v>188.4</c:v>
                </c:pt>
                <c:pt idx="1">
                  <c:v>155.6</c:v>
                </c:pt>
                <c:pt idx="2">
                  <c:v>163.5</c:v>
                </c:pt>
                <c:pt idx="3">
                  <c:v>193.9</c:v>
                </c:pt>
                <c:pt idx="4">
                  <c:v>218.1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9A-4A2C-BC76-AFE320476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3391736"/>
        <c:axId val="563392720"/>
      </c:barChart>
      <c:catAx>
        <c:axId val="56339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92720"/>
        <c:crosses val="autoZero"/>
        <c:auto val="1"/>
        <c:lblAlgn val="ctr"/>
        <c:lblOffset val="100"/>
        <c:noMultiLvlLbl val="0"/>
      </c:catAx>
      <c:valAx>
        <c:axId val="563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9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4.xml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65484</xdr:colOff>
      <xdr:row>5</xdr:row>
      <xdr:rowOff>35719</xdr:rowOff>
    </xdr:from>
    <xdr:to>
      <xdr:col>47</xdr:col>
      <xdr:colOff>297656</xdr:colOff>
      <xdr:row>27</xdr:row>
      <xdr:rowOff>11907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5B591-76CE-835B-C2AE-ABBBC746B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326571</xdr:colOff>
      <xdr:row>52</xdr:row>
      <xdr:rowOff>166007</xdr:rowOff>
    </xdr:from>
    <xdr:to>
      <xdr:col>24</xdr:col>
      <xdr:colOff>550334</xdr:colOff>
      <xdr:row>76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766B9-3E20-417D-8480-483CA1FA8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</xdr:row>
      <xdr:rowOff>33337</xdr:rowOff>
    </xdr:from>
    <xdr:to>
      <xdr:col>19</xdr:col>
      <xdr:colOff>381000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606E4-6B31-408C-AC47-0395CE105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438150</xdr:colOff>
      <xdr:row>32</xdr:row>
      <xdr:rowOff>114300</xdr:rowOff>
    </xdr:from>
    <xdr:to>
      <xdr:col>25</xdr:col>
      <xdr:colOff>267867</xdr:colOff>
      <xdr:row>43</xdr:row>
      <xdr:rowOff>28856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3FA626-ADAD-427D-ADE8-F478AECB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0175" y="6191250"/>
          <a:ext cx="8364117" cy="2010056"/>
        </a:xfrm>
        <a:prstGeom prst="rect">
          <a:avLst/>
        </a:prstGeom>
      </xdr:spPr>
    </xdr:pic>
    <xdr:clientData/>
  </xdr:twoCellAnchor>
  <xdr:twoCellAnchor>
    <xdr:from>
      <xdr:col>12</xdr:col>
      <xdr:colOff>66675</xdr:colOff>
      <xdr:row>16</xdr:row>
      <xdr:rowOff>61912</xdr:rowOff>
    </xdr:from>
    <xdr:to>
      <xdr:col>19</xdr:col>
      <xdr:colOff>390525</xdr:colOff>
      <xdr:row>31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55445-ABE5-44E6-BC80-22B422785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10583</xdr:colOff>
      <xdr:row>49</xdr:row>
      <xdr:rowOff>95250</xdr:rowOff>
    </xdr:from>
    <xdr:to>
      <xdr:col>21</xdr:col>
      <xdr:colOff>296333</xdr:colOff>
      <xdr:row>67</xdr:row>
      <xdr:rowOff>0</xdr:rowOff>
    </xdr:to>
    <xdr:pic>
      <xdr:nvPicPr>
        <xdr:cNvPr id="6" name="Picture 5" descr="2024 - 2030 年美国清洁和卫生产品市场规模和增长率">
          <a:extLst>
            <a:ext uri="{FF2B5EF4-FFF2-40B4-BE49-F238E27FC236}">
              <a16:creationId xmlns:a16="http://schemas.microsoft.com/office/drawing/2014/main" id="{34A46D92-E703-404C-9060-B70D2699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5416" y="9419167"/>
          <a:ext cx="6424084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21</xdr:col>
      <xdr:colOff>295275</xdr:colOff>
      <xdr:row>88</xdr:row>
      <xdr:rowOff>95250</xdr:rowOff>
    </xdr:to>
    <xdr:pic>
      <xdr:nvPicPr>
        <xdr:cNvPr id="7" name="Picture 6" descr="U.S. Water Treatment Systems market size and growth rate, 2024 - 2030">
          <a:extLst>
            <a:ext uri="{FF2B5EF4-FFF2-40B4-BE49-F238E27FC236}">
              <a16:creationId xmlns:a16="http://schemas.microsoft.com/office/drawing/2014/main" id="{62B4974C-692A-4F6B-9AB0-234434402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13515975"/>
          <a:ext cx="63912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264583</xdr:colOff>
      <xdr:row>48</xdr:row>
      <xdr:rowOff>84666</xdr:rowOff>
    </xdr:from>
    <xdr:to>
      <xdr:col>34</xdr:col>
      <xdr:colOff>356469</xdr:colOff>
      <xdr:row>69</xdr:row>
      <xdr:rowOff>94751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8871DD-710E-4E34-B68D-4B8AF0EC4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9250" y="9218083"/>
          <a:ext cx="6230219" cy="4010585"/>
        </a:xfrm>
        <a:prstGeom prst="rect">
          <a:avLst/>
        </a:prstGeom>
      </xdr:spPr>
    </xdr:pic>
    <xdr:clientData/>
  </xdr:twoCellAnchor>
  <xdr:twoCellAnchor>
    <xdr:from>
      <xdr:col>20</xdr:col>
      <xdr:colOff>10584</xdr:colOff>
      <xdr:row>1</xdr:row>
      <xdr:rowOff>42334</xdr:rowOff>
    </xdr:from>
    <xdr:to>
      <xdr:col>27</xdr:col>
      <xdr:colOff>315383</xdr:colOff>
      <xdr:row>15</xdr:row>
      <xdr:rowOff>118534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9BC919-4C25-47CF-B788-9C0412209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16</xdr:row>
      <xdr:rowOff>67734</xdr:rowOff>
    </xdr:from>
    <xdr:to>
      <xdr:col>27</xdr:col>
      <xdr:colOff>275166</xdr:colOff>
      <xdr:row>30</xdr:row>
      <xdr:rowOff>143934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923E4D-6C52-AE8C-B302-27917A3B2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13</xdr:row>
      <xdr:rowOff>80961</xdr:rowOff>
    </xdr:from>
    <xdr:to>
      <xdr:col>7</xdr:col>
      <xdr:colOff>66674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2ACF4-8B84-41B6-9A59-20F09110D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13</xdr:row>
      <xdr:rowOff>47625</xdr:rowOff>
    </xdr:from>
    <xdr:to>
      <xdr:col>15</xdr:col>
      <xdr:colOff>38100</xdr:colOff>
      <xdr:row>31</xdr:row>
      <xdr:rowOff>157164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65863B-8D56-4798-BF42-A8AEEF99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905A6D-66E2-EA43-A30A-0EF0A05ED4FE}">
  <we:reference id="367f4e28-f27a-41a8-92a6-9f79d56cb19e" version="2.1.0.0" store="EXCatalog" storeType="EXCatalog"/>
  <we:alternateReferences>
    <we:reference id="WA200001456" version="2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 xmlns=""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  <we:customFunctionIds>FDSLIVE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8BA-24F3-4184-AA37-436C9DBCC177}">
  <dimension ref="A1:B1"/>
  <sheetViews>
    <sheetView workbookViewId="0"/>
  </sheetViews>
  <sheetFormatPr defaultColWidth="8.85546875" defaultRowHeight="15" x14ac:dyDescent="0.25"/>
  <sheetData>
    <row r="1" spans="1:2" x14ac:dyDescent="0.25">
      <c r="B1" t="s">
        <v>177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DFCE-A2E1-45CE-A9AA-98D6DF8C8FC9}">
  <sheetPr>
    <tabColor theme="0" tint="-0.499984740745262"/>
  </sheetPr>
  <dimension ref="A1:AQ114"/>
  <sheetViews>
    <sheetView zoomScale="80" zoomScaleNormal="80" workbookViewId="0">
      <pane xSplit="3" ySplit="4" topLeftCell="I7" activePane="bottomRight" state="frozen"/>
      <selection activeCell="B46" sqref="B46"/>
      <selection pane="topRight" activeCell="B46" sqref="B46"/>
      <selection pane="bottomLeft" activeCell="B46" sqref="B46"/>
      <selection pane="bottomRight" activeCell="Z7" sqref="Z7"/>
    </sheetView>
  </sheetViews>
  <sheetFormatPr defaultColWidth="8.85546875" defaultRowHeight="15" outlineLevelCol="1" x14ac:dyDescent="0.25"/>
  <cols>
    <col min="1" max="1" width="1.7109375" style="17" customWidth="1"/>
    <col min="2" max="2" width="69.28515625" style="17" customWidth="1"/>
    <col min="3" max="3" width="2" style="17" customWidth="1"/>
    <col min="4" max="4" width="1.7109375" style="17" hidden="1" customWidth="1" outlineLevel="1"/>
    <col min="5" max="6" width="11.42578125" style="17" hidden="1" customWidth="1" outlineLevel="1"/>
    <col min="7" max="7" width="12.42578125" style="17" hidden="1" customWidth="1" outlineLevel="1"/>
    <col min="8" max="8" width="12.28515625" style="17" hidden="1" customWidth="1" outlineLevel="1"/>
    <col min="9" max="9" width="12.42578125" style="17" customWidth="1" collapsed="1"/>
    <col min="10" max="13" width="12.140625" style="17" hidden="1" customWidth="1" outlineLevel="1"/>
    <col min="14" max="14" width="12.42578125" style="17" bestFit="1" customWidth="1" collapsed="1"/>
    <col min="15" max="18" width="12.140625" style="17" hidden="1" customWidth="1" outlineLevel="1"/>
    <col min="19" max="19" width="13.140625" style="17" bestFit="1" customWidth="1" collapsed="1"/>
    <col min="20" max="23" width="12.28515625" style="17" hidden="1" customWidth="1" outlineLevel="1"/>
    <col min="24" max="24" width="12.42578125" style="17" bestFit="1" customWidth="1" collapsed="1"/>
    <col min="25" max="28" width="12.28515625" style="17" hidden="1" customWidth="1" outlineLevel="1"/>
    <col min="29" max="29" width="12.42578125" style="17" bestFit="1" customWidth="1" collapsed="1"/>
    <col min="30" max="33" width="12.28515625" style="17" hidden="1" customWidth="1" outlineLevel="1"/>
    <col min="34" max="34" width="12.85546875" style="17" bestFit="1" customWidth="1" collapsed="1"/>
    <col min="35" max="36" width="12.85546875" style="17" bestFit="1" customWidth="1"/>
    <col min="37" max="16384" width="8.85546875" style="17"/>
  </cols>
  <sheetData>
    <row r="1" spans="1:43" s="12" customFormat="1" x14ac:dyDescent="0.25">
      <c r="B1" s="13" t="s">
        <v>210</v>
      </c>
      <c r="C1" s="14"/>
      <c r="E1" s="15"/>
      <c r="F1" s="15"/>
      <c r="G1" s="15"/>
      <c r="H1" s="15"/>
      <c r="I1" s="16"/>
      <c r="J1" s="15"/>
      <c r="K1" s="15"/>
      <c r="L1" s="15"/>
      <c r="M1" s="15"/>
      <c r="N1" s="16"/>
      <c r="O1" s="15"/>
      <c r="P1" s="15"/>
      <c r="Q1" s="15"/>
      <c r="R1" s="15"/>
      <c r="S1" s="16"/>
      <c r="T1" s="15"/>
      <c r="U1" s="15"/>
      <c r="V1" s="15"/>
      <c r="W1" s="15"/>
      <c r="X1" s="16"/>
      <c r="Y1" s="15"/>
      <c r="Z1" s="15"/>
      <c r="AA1" s="15"/>
      <c r="AB1" s="15"/>
      <c r="AC1" s="16"/>
      <c r="AD1" s="15"/>
      <c r="AE1" s="15"/>
      <c r="AF1" s="15"/>
      <c r="AG1" s="15"/>
      <c r="AH1" s="16"/>
      <c r="AI1" s="16"/>
      <c r="AJ1" s="16"/>
      <c r="AK1" s="17"/>
      <c r="AL1" s="17"/>
      <c r="AM1" s="17"/>
      <c r="AN1" s="17"/>
      <c r="AO1" s="17"/>
      <c r="AP1" s="17"/>
      <c r="AQ1" s="17"/>
    </row>
    <row r="2" spans="1:43" x14ac:dyDescent="0.25">
      <c r="B2" s="12" t="s">
        <v>27</v>
      </c>
      <c r="C2" s="12"/>
      <c r="D2" s="18"/>
      <c r="E2" s="18" t="s">
        <v>28</v>
      </c>
      <c r="F2" s="18" t="s">
        <v>29</v>
      </c>
      <c r="G2" s="18" t="s">
        <v>30</v>
      </c>
      <c r="H2" s="18" t="s">
        <v>31</v>
      </c>
      <c r="I2" s="19">
        <v>2019</v>
      </c>
      <c r="J2" s="18" t="s">
        <v>32</v>
      </c>
      <c r="K2" s="18" t="s">
        <v>33</v>
      </c>
      <c r="L2" s="18" t="s">
        <v>34</v>
      </c>
      <c r="M2" s="18" t="s">
        <v>35</v>
      </c>
      <c r="N2" s="19">
        <v>2020</v>
      </c>
      <c r="O2" s="20" t="s">
        <v>36</v>
      </c>
      <c r="P2" s="20" t="s">
        <v>37</v>
      </c>
      <c r="Q2" s="20" t="s">
        <v>38</v>
      </c>
      <c r="R2" s="20" t="s">
        <v>39</v>
      </c>
      <c r="S2" s="19">
        <v>2021</v>
      </c>
      <c r="T2" s="18" t="s">
        <v>26</v>
      </c>
      <c r="U2" s="18" t="s">
        <v>25</v>
      </c>
      <c r="V2" s="18" t="s">
        <v>24</v>
      </c>
      <c r="W2" s="18" t="s">
        <v>23</v>
      </c>
      <c r="X2" s="19">
        <v>2022</v>
      </c>
      <c r="Y2" s="18" t="s">
        <v>20</v>
      </c>
      <c r="Z2" s="18" t="s">
        <v>11</v>
      </c>
      <c r="AA2" s="18" t="s">
        <v>21</v>
      </c>
      <c r="AB2" s="18" t="s">
        <v>22</v>
      </c>
      <c r="AC2" s="19">
        <v>2023</v>
      </c>
      <c r="AD2" s="20" t="s">
        <v>19</v>
      </c>
      <c r="AE2" s="20" t="s">
        <v>10</v>
      </c>
      <c r="AF2" s="20" t="s">
        <v>40</v>
      </c>
      <c r="AG2" s="20" t="s">
        <v>41</v>
      </c>
      <c r="AH2" s="19" t="s">
        <v>42</v>
      </c>
      <c r="AI2" s="19" t="s">
        <v>43</v>
      </c>
      <c r="AJ2" s="19" t="s">
        <v>44</v>
      </c>
    </row>
    <row r="3" spans="1:43" x14ac:dyDescent="0.25">
      <c r="A3" s="21"/>
      <c r="B3" s="22" t="s">
        <v>45</v>
      </c>
      <c r="C3" s="22"/>
      <c r="D3" s="23"/>
      <c r="E3" s="23">
        <v>43555</v>
      </c>
      <c r="F3" s="23">
        <f>EOMONTH(E3,3)</f>
        <v>43646</v>
      </c>
      <c r="G3" s="23">
        <f>EOMONTH(F3,3)</f>
        <v>43738</v>
      </c>
      <c r="H3" s="23">
        <f>EOMONTH(G3,3)</f>
        <v>43830</v>
      </c>
      <c r="I3" s="24">
        <f>+H3</f>
        <v>43830</v>
      </c>
      <c r="J3" s="25">
        <f>EOMONTH(I3,3)</f>
        <v>43921</v>
      </c>
      <c r="K3" s="25">
        <f>EOMONTH(J3,3)</f>
        <v>44012</v>
      </c>
      <c r="L3" s="25">
        <f>EOMONTH(K3,3)</f>
        <v>44104</v>
      </c>
      <c r="M3" s="25">
        <f>EOMONTH(L3,3)</f>
        <v>44196</v>
      </c>
      <c r="N3" s="26">
        <f>+M3</f>
        <v>44196</v>
      </c>
      <c r="O3" s="25">
        <f>EOMONTH(N3,3)</f>
        <v>44286</v>
      </c>
      <c r="P3" s="25">
        <f>EOMONTH(O3,3)</f>
        <v>44377</v>
      </c>
      <c r="Q3" s="25">
        <f>EOMONTH(P3,3)</f>
        <v>44469</v>
      </c>
      <c r="R3" s="25">
        <f>EOMONTH(Q3,3)</f>
        <v>44561</v>
      </c>
      <c r="S3" s="26">
        <f>+R3</f>
        <v>44561</v>
      </c>
      <c r="T3" s="25">
        <f>EOMONTH(S3,3)</f>
        <v>44651</v>
      </c>
      <c r="U3" s="25">
        <f>EOMONTH(T3,3)</f>
        <v>44742</v>
      </c>
      <c r="V3" s="27">
        <f>EOMONTH(U3,3)</f>
        <v>44834</v>
      </c>
      <c r="W3" s="27">
        <f>EOMONTH(V3,3)</f>
        <v>44926</v>
      </c>
      <c r="X3" s="28">
        <f>+EOMONTH(S3,12)</f>
        <v>44926</v>
      </c>
      <c r="Y3" s="25">
        <f>EOMONTH(W3,3)</f>
        <v>45016</v>
      </c>
      <c r="Z3" s="25">
        <f>EOMONTH(Y3,3)</f>
        <v>45107</v>
      </c>
      <c r="AA3" s="27">
        <f>EOMONTH(Z3,3)</f>
        <v>45199</v>
      </c>
      <c r="AB3" s="27">
        <f>EOMONTH(AA3,3)</f>
        <v>45291</v>
      </c>
      <c r="AC3" s="28">
        <f>+EOMONTH(X3,12)</f>
        <v>45291</v>
      </c>
      <c r="AD3" s="25">
        <f>EOMONTH(AB3,3)</f>
        <v>45382</v>
      </c>
      <c r="AE3" s="25">
        <f>EOMONTH(AD3,3)</f>
        <v>45473</v>
      </c>
      <c r="AF3" s="27">
        <f>EOMONTH(AE3,3)</f>
        <v>45565</v>
      </c>
      <c r="AG3" s="27">
        <f>EOMONTH(AF3,3)</f>
        <v>45657</v>
      </c>
      <c r="AH3" s="29">
        <f>+EOMONTH(AC3,12)</f>
        <v>45657</v>
      </c>
      <c r="AI3" s="29">
        <f>+EOMONTH(AG3,12)</f>
        <v>46022</v>
      </c>
      <c r="AJ3" s="29">
        <f>+EOMONTH(AH3,12)</f>
        <v>46022</v>
      </c>
    </row>
    <row r="4" spans="1:43" x14ac:dyDescent="0.25">
      <c r="B4" s="30" t="s">
        <v>46</v>
      </c>
      <c r="C4" s="30"/>
      <c r="E4" s="31">
        <v>90</v>
      </c>
      <c r="F4" s="31">
        <f>+F3-E3</f>
        <v>91</v>
      </c>
      <c r="G4" s="31">
        <f>+G3-F3</f>
        <v>92</v>
      </c>
      <c r="H4" s="31">
        <f>+H3-G3</f>
        <v>92</v>
      </c>
      <c r="I4" s="32">
        <v>365</v>
      </c>
      <c r="J4" s="33">
        <f>+J3-I3</f>
        <v>91</v>
      </c>
      <c r="K4" s="33">
        <f>+K3-J3</f>
        <v>91</v>
      </c>
      <c r="L4" s="33">
        <f>+L3-K3</f>
        <v>92</v>
      </c>
      <c r="M4" s="33">
        <f>+M3-L3</f>
        <v>92</v>
      </c>
      <c r="N4" s="34">
        <f>+N3-I3</f>
        <v>366</v>
      </c>
      <c r="O4" s="33">
        <f>+O3-N3</f>
        <v>90</v>
      </c>
      <c r="P4" s="33">
        <f>+P3-O3</f>
        <v>91</v>
      </c>
      <c r="Q4" s="33">
        <f>+Q3-P3</f>
        <v>92</v>
      </c>
      <c r="R4" s="33">
        <f>+R3-Q3</f>
        <v>92</v>
      </c>
      <c r="S4" s="34">
        <f>+S3-N3</f>
        <v>365</v>
      </c>
      <c r="T4" s="33">
        <f>+T3-S3</f>
        <v>90</v>
      </c>
      <c r="U4" s="33">
        <f>+U3-T3</f>
        <v>91</v>
      </c>
      <c r="V4" s="35">
        <f>+V3-U3</f>
        <v>92</v>
      </c>
      <c r="W4" s="35">
        <f>+W3-V3</f>
        <v>92</v>
      </c>
      <c r="X4" s="36">
        <f>X3-S3</f>
        <v>365</v>
      </c>
      <c r="Y4" s="33">
        <f>+Y3-W3</f>
        <v>90</v>
      </c>
      <c r="Z4" s="33">
        <f>+Z3-Y3</f>
        <v>91</v>
      </c>
      <c r="AA4" s="35">
        <f>+AA3-Z3</f>
        <v>92</v>
      </c>
      <c r="AB4" s="35">
        <f>+AB3-AA3</f>
        <v>92</v>
      </c>
      <c r="AC4" s="36">
        <f>AC3-X3</f>
        <v>365</v>
      </c>
      <c r="AD4" s="33">
        <f>+AD3-AB3</f>
        <v>91</v>
      </c>
      <c r="AE4" s="33">
        <f>+AE3-AD3</f>
        <v>91</v>
      </c>
      <c r="AF4" s="35">
        <f>+AF3-AE3</f>
        <v>92</v>
      </c>
      <c r="AG4" s="35">
        <f>+AG3-AF3</f>
        <v>92</v>
      </c>
      <c r="AH4" s="37">
        <f>AH3-AC3</f>
        <v>366</v>
      </c>
      <c r="AI4" s="37">
        <f>AI3-AG3</f>
        <v>365</v>
      </c>
      <c r="AJ4" s="37">
        <f>AJ3-AH3</f>
        <v>365</v>
      </c>
    </row>
    <row r="5" spans="1:43" x14ac:dyDescent="0.25">
      <c r="A5" s="38"/>
      <c r="B5" s="38" t="s">
        <v>47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  <c r="W5" s="40"/>
      <c r="X5" s="39"/>
      <c r="Y5" s="39"/>
      <c r="Z5" s="39"/>
      <c r="AA5" s="40"/>
      <c r="AB5" s="40"/>
      <c r="AC5" s="39"/>
      <c r="AD5" s="39"/>
      <c r="AE5" s="39"/>
      <c r="AF5" s="40"/>
      <c r="AG5" s="40"/>
      <c r="AH5" s="39"/>
      <c r="AI5" s="39"/>
      <c r="AJ5" s="39"/>
    </row>
    <row r="6" spans="1:43" x14ac:dyDescent="0.25">
      <c r="B6" s="3" t="s">
        <v>0</v>
      </c>
      <c r="C6" s="30"/>
      <c r="E6" s="31"/>
      <c r="F6" s="31"/>
      <c r="G6" s="31"/>
      <c r="H6" s="31"/>
      <c r="I6" s="41"/>
      <c r="J6" s="42"/>
      <c r="K6" s="42"/>
      <c r="L6" s="42"/>
      <c r="M6" s="42"/>
      <c r="N6" s="41"/>
      <c r="O6" s="42"/>
      <c r="P6" s="42"/>
      <c r="Q6" s="42"/>
      <c r="R6" s="42"/>
      <c r="S6" s="41"/>
      <c r="T6" s="42"/>
      <c r="U6" s="42"/>
      <c r="V6" s="42"/>
      <c r="W6" s="42"/>
      <c r="X6" s="41"/>
      <c r="Y6" s="42"/>
      <c r="Z6" s="42"/>
      <c r="AA6" s="42"/>
      <c r="AB6" s="42"/>
      <c r="AC6" s="41"/>
      <c r="AD6" s="42"/>
      <c r="AE6" s="42"/>
      <c r="AF6" s="42"/>
      <c r="AG6" s="42"/>
      <c r="AH6" s="41"/>
      <c r="AI6" s="41"/>
      <c r="AJ6" s="41"/>
    </row>
    <row r="7" spans="1:43" x14ac:dyDescent="0.25">
      <c r="B7" s="1" t="s">
        <v>1</v>
      </c>
      <c r="C7" s="30"/>
      <c r="E7" s="31"/>
      <c r="F7" s="31"/>
      <c r="G7" s="31"/>
      <c r="H7" s="31"/>
      <c r="I7" s="41">
        <v>5174.1000000000004</v>
      </c>
      <c r="J7" s="42"/>
      <c r="K7" s="42"/>
      <c r="L7" s="42"/>
      <c r="M7" s="42"/>
      <c r="N7" s="41">
        <v>5052.3</v>
      </c>
      <c r="O7" s="42">
        <v>1227.5</v>
      </c>
      <c r="P7" s="42">
        <v>1327.5</v>
      </c>
      <c r="Q7" s="42">
        <v>1386</v>
      </c>
      <c r="R7" s="42">
        <f>S7-Q7-P7-O7</f>
        <v>1431.3999999999996</v>
      </c>
      <c r="S7" s="41">
        <v>5372.4</v>
      </c>
      <c r="T7" s="42">
        <v>1358.4</v>
      </c>
      <c r="U7" s="42">
        <v>1471.4</v>
      </c>
      <c r="V7" s="42">
        <v>1551.8</v>
      </c>
      <c r="W7" s="42">
        <f>X7-V7-U7-T7</f>
        <v>1555.3999999999996</v>
      </c>
      <c r="X7" s="41">
        <v>5937</v>
      </c>
      <c r="Y7" s="42">
        <v>1592.3</v>
      </c>
      <c r="Z7" s="42">
        <v>1683.1</v>
      </c>
      <c r="AA7" s="42">
        <v>1614</v>
      </c>
      <c r="AB7" s="42">
        <f>AC7-AA7-Z7-Y7</f>
        <v>1441.6000000000001</v>
      </c>
      <c r="AC7" s="41">
        <v>6331</v>
      </c>
      <c r="AD7" s="42">
        <v>1612.5</v>
      </c>
      <c r="AE7" s="42">
        <v>1702.7</v>
      </c>
      <c r="AF7" s="42"/>
      <c r="AG7" s="42"/>
      <c r="AH7" s="41"/>
      <c r="AI7" s="41"/>
      <c r="AJ7" s="41"/>
    </row>
    <row r="8" spans="1:43" s="12" customFormat="1" x14ac:dyDescent="0.25">
      <c r="B8" s="1" t="s">
        <v>2</v>
      </c>
      <c r="C8" s="43"/>
      <c r="E8" s="44"/>
      <c r="F8" s="44"/>
      <c r="G8" s="44"/>
      <c r="H8" s="44"/>
      <c r="I8" s="41">
        <v>806.1</v>
      </c>
      <c r="J8" s="42"/>
      <c r="K8" s="42"/>
      <c r="L8" s="42"/>
      <c r="M8" s="42"/>
      <c r="N8" s="41">
        <v>818.5</v>
      </c>
      <c r="O8" s="42">
        <v>203.5</v>
      </c>
      <c r="P8" s="42">
        <v>217</v>
      </c>
      <c r="Q8" s="42">
        <v>217.1</v>
      </c>
      <c r="R8" s="42">
        <f>S8-Q8-P8-O8</f>
        <v>227.89999999999998</v>
      </c>
      <c r="S8" s="41">
        <v>865.5</v>
      </c>
      <c r="T8" s="42">
        <v>207.3</v>
      </c>
      <c r="U8" s="42">
        <v>218.5</v>
      </c>
      <c r="V8" s="42">
        <v>217.8</v>
      </c>
      <c r="W8" s="42">
        <f>X8-V8-U8-T8</f>
        <v>224.40000000000003</v>
      </c>
      <c r="X8" s="41">
        <v>868</v>
      </c>
      <c r="Y8" s="42">
        <v>216.8</v>
      </c>
      <c r="Z8" s="42">
        <v>226.4</v>
      </c>
      <c r="AA8" s="42">
        <v>227.8</v>
      </c>
      <c r="AB8" s="42">
        <f>AC8-AA8-Z8-Y8</f>
        <v>219.8</v>
      </c>
      <c r="AC8" s="41">
        <v>890.8</v>
      </c>
      <c r="AD8" s="46">
        <v>226.7</v>
      </c>
      <c r="AE8" s="46">
        <v>233.8</v>
      </c>
      <c r="AF8" s="46"/>
      <c r="AG8" s="46"/>
      <c r="AH8" s="45"/>
      <c r="AI8" s="45"/>
      <c r="AJ8" s="45"/>
    </row>
    <row r="9" spans="1:43" x14ac:dyDescent="0.25">
      <c r="B9" s="3" t="s">
        <v>12</v>
      </c>
      <c r="C9" s="30"/>
      <c r="E9" s="31"/>
      <c r="F9" s="31"/>
      <c r="G9" s="31"/>
      <c r="H9" s="31"/>
      <c r="I9" s="41">
        <f>I8+I7</f>
        <v>5980.2000000000007</v>
      </c>
      <c r="J9" s="41">
        <f t="shared" ref="J9:AE9" si="0">J8+J7</f>
        <v>0</v>
      </c>
      <c r="K9" s="41">
        <f t="shared" si="0"/>
        <v>0</v>
      </c>
      <c r="L9" s="41">
        <f t="shared" si="0"/>
        <v>0</v>
      </c>
      <c r="M9" s="41">
        <f t="shared" si="0"/>
        <v>0</v>
      </c>
      <c r="N9" s="41">
        <f t="shared" si="0"/>
        <v>5870.8</v>
      </c>
      <c r="O9" s="41">
        <f t="shared" si="0"/>
        <v>1431</v>
      </c>
      <c r="P9" s="41">
        <f t="shared" si="0"/>
        <v>1544.5</v>
      </c>
      <c r="Q9" s="41">
        <f t="shared" si="0"/>
        <v>1603.1</v>
      </c>
      <c r="R9" s="41">
        <f t="shared" si="0"/>
        <v>1659.2999999999997</v>
      </c>
      <c r="S9" s="41">
        <f t="shared" si="0"/>
        <v>6237.9</v>
      </c>
      <c r="T9" s="41">
        <f t="shared" si="0"/>
        <v>1565.7</v>
      </c>
      <c r="U9" s="41">
        <f t="shared" si="0"/>
        <v>1689.9</v>
      </c>
      <c r="V9" s="41">
        <f t="shared" si="0"/>
        <v>1769.6</v>
      </c>
      <c r="W9" s="41">
        <f t="shared" si="0"/>
        <v>1779.7999999999997</v>
      </c>
      <c r="X9" s="41">
        <f t="shared" si="0"/>
        <v>6805</v>
      </c>
      <c r="Y9" s="41">
        <f t="shared" si="0"/>
        <v>1809.1</v>
      </c>
      <c r="Z9" s="41">
        <f t="shared" si="0"/>
        <v>1909.5</v>
      </c>
      <c r="AA9" s="41">
        <f t="shared" si="0"/>
        <v>1841.8</v>
      </c>
      <c r="AB9" s="41">
        <f t="shared" si="0"/>
        <v>1661.4</v>
      </c>
      <c r="AC9" s="41">
        <f t="shared" si="0"/>
        <v>7221.8</v>
      </c>
      <c r="AD9" s="41">
        <f t="shared" si="0"/>
        <v>1839.2</v>
      </c>
      <c r="AE9" s="41">
        <f t="shared" si="0"/>
        <v>1936.5</v>
      </c>
      <c r="AF9" s="42"/>
      <c r="AG9" s="42"/>
      <c r="AH9" s="41"/>
      <c r="AI9" s="41"/>
      <c r="AJ9" s="41"/>
    </row>
    <row r="10" spans="1:43" x14ac:dyDescent="0.25">
      <c r="B10" s="1"/>
      <c r="C10" s="30"/>
      <c r="E10" s="31"/>
      <c r="F10" s="31"/>
      <c r="G10" s="31"/>
      <c r="H10" s="31"/>
      <c r="I10" s="41"/>
      <c r="J10" s="42"/>
      <c r="K10" s="42"/>
      <c r="L10" s="42"/>
      <c r="M10" s="42"/>
      <c r="N10" s="41"/>
      <c r="O10" s="42"/>
      <c r="P10" s="42"/>
      <c r="Q10" s="42"/>
      <c r="R10" s="42"/>
      <c r="S10" s="41"/>
      <c r="T10" s="42"/>
      <c r="U10" s="42"/>
      <c r="V10" s="42"/>
      <c r="W10" s="42"/>
      <c r="X10" s="41"/>
      <c r="Y10" s="42"/>
      <c r="Z10" s="42"/>
      <c r="AA10" s="42"/>
      <c r="AB10" s="42"/>
      <c r="AC10" s="41"/>
      <c r="AD10" s="42"/>
      <c r="AE10" s="42"/>
      <c r="AF10" s="42"/>
      <c r="AG10" s="42"/>
      <c r="AH10" s="41"/>
      <c r="AI10" s="41"/>
      <c r="AJ10" s="41"/>
    </row>
    <row r="11" spans="1:43" x14ac:dyDescent="0.25">
      <c r="B11" s="4" t="s">
        <v>3</v>
      </c>
      <c r="C11" s="30"/>
      <c r="E11" s="31"/>
      <c r="F11" s="31"/>
      <c r="G11" s="31"/>
      <c r="H11" s="31"/>
      <c r="I11" s="41"/>
      <c r="J11" s="42"/>
      <c r="K11" s="42"/>
      <c r="L11" s="42"/>
      <c r="M11" s="42"/>
      <c r="N11" s="41"/>
      <c r="O11" s="42"/>
      <c r="P11" s="42"/>
      <c r="Q11" s="42"/>
      <c r="R11" s="42"/>
      <c r="S11" s="41"/>
      <c r="T11" s="42"/>
      <c r="U11" s="42"/>
      <c r="V11" s="42"/>
      <c r="W11" s="42"/>
      <c r="X11" s="41"/>
      <c r="Y11" s="42"/>
      <c r="Z11" s="42"/>
      <c r="AA11" s="42"/>
      <c r="AB11" s="42"/>
      <c r="AC11" s="41"/>
      <c r="AD11" s="42"/>
      <c r="AE11" s="42"/>
      <c r="AF11" s="42"/>
      <c r="AG11" s="42"/>
      <c r="AH11" s="41"/>
      <c r="AI11" s="41"/>
      <c r="AJ11" s="41"/>
    </row>
    <row r="12" spans="1:43" x14ac:dyDescent="0.25">
      <c r="B12" s="1" t="s">
        <v>1</v>
      </c>
      <c r="C12" s="30"/>
      <c r="E12" s="31"/>
      <c r="F12" s="31"/>
      <c r="G12" s="31"/>
      <c r="H12" s="31"/>
      <c r="I12" s="41">
        <v>3701.9</v>
      </c>
      <c r="J12" s="42"/>
      <c r="K12" s="42"/>
      <c r="L12" s="42"/>
      <c r="M12" s="42"/>
      <c r="N12" s="41">
        <v>2968.7</v>
      </c>
      <c r="O12" s="42">
        <v>702.7</v>
      </c>
      <c r="P12" s="42">
        <v>805.1</v>
      </c>
      <c r="Q12" s="42">
        <v>889.9</v>
      </c>
      <c r="R12" s="42">
        <f>S12-Q12-P12-O12</f>
        <v>878.60000000000014</v>
      </c>
      <c r="S12" s="41">
        <v>3276.3</v>
      </c>
      <c r="T12" s="42">
        <v>827</v>
      </c>
      <c r="U12" s="42">
        <v>936.3</v>
      </c>
      <c r="V12" s="42">
        <v>966.9</v>
      </c>
      <c r="W12" s="42">
        <f>X12-V12-U12-T12</f>
        <v>925.10000000000014</v>
      </c>
      <c r="X12" s="41">
        <v>3655.3</v>
      </c>
      <c r="Y12" s="42">
        <v>920.8</v>
      </c>
      <c r="Z12" s="42">
        <v>1047.2</v>
      </c>
      <c r="AA12" s="42">
        <v>1071.8</v>
      </c>
      <c r="AB12" s="42">
        <f>AC12-AA12-Z12-Y12</f>
        <v>1047.6000000000004</v>
      </c>
      <c r="AC12" s="41">
        <v>4087.4</v>
      </c>
      <c r="AD12" s="42">
        <v>1021.4</v>
      </c>
      <c r="AE12" s="42">
        <v>1109.9000000000001</v>
      </c>
      <c r="AF12" s="42"/>
      <c r="AG12" s="42"/>
      <c r="AH12" s="41"/>
      <c r="AI12" s="41"/>
      <c r="AJ12" s="41"/>
    </row>
    <row r="13" spans="1:43" x14ac:dyDescent="0.25">
      <c r="B13" s="1" t="s">
        <v>2</v>
      </c>
      <c r="C13" s="30"/>
      <c r="E13" s="31"/>
      <c r="F13" s="31"/>
      <c r="G13" s="31"/>
      <c r="H13" s="31"/>
      <c r="I13" s="41">
        <v>699.6</v>
      </c>
      <c r="J13" s="42"/>
      <c r="K13" s="42"/>
      <c r="L13" s="42"/>
      <c r="M13" s="42"/>
      <c r="N13" s="41">
        <v>584.5</v>
      </c>
      <c r="O13" s="42">
        <v>154.69999999999999</v>
      </c>
      <c r="P13" s="42">
        <v>170.9</v>
      </c>
      <c r="Q13" s="42">
        <v>180.7</v>
      </c>
      <c r="R13" s="42">
        <f>S13-Q13-P13-O13</f>
        <v>184.2</v>
      </c>
      <c r="S13" s="41">
        <v>690.5</v>
      </c>
      <c r="T13" s="42">
        <v>182.4</v>
      </c>
      <c r="U13" s="42">
        <v>193</v>
      </c>
      <c r="V13" s="42">
        <v>199.1</v>
      </c>
      <c r="W13" s="42">
        <f>X13-V13-U13-T13</f>
        <v>202.29999999999993</v>
      </c>
      <c r="X13" s="41">
        <v>776.8</v>
      </c>
      <c r="Y13" s="42">
        <v>208</v>
      </c>
      <c r="Z13" s="42">
        <v>225</v>
      </c>
      <c r="AA13" s="42">
        <v>241.2</v>
      </c>
      <c r="AB13" s="42">
        <f>AC13-AA13-Z13-Y13</f>
        <v>237.59999999999991</v>
      </c>
      <c r="AC13" s="41">
        <v>911.8</v>
      </c>
      <c r="AD13" s="42">
        <v>245.3</v>
      </c>
      <c r="AE13" s="42">
        <v>254</v>
      </c>
      <c r="AF13" s="42"/>
      <c r="AG13" s="42"/>
      <c r="AH13" s="41"/>
      <c r="AI13" s="41"/>
      <c r="AJ13" s="41"/>
    </row>
    <row r="14" spans="1:43" s="12" customFormat="1" x14ac:dyDescent="0.25">
      <c r="B14" s="3" t="s">
        <v>14</v>
      </c>
      <c r="C14" s="43"/>
      <c r="E14" s="44"/>
      <c r="F14" s="44"/>
      <c r="G14" s="44"/>
      <c r="H14" s="44"/>
      <c r="I14" s="41">
        <f>I13+I12</f>
        <v>4401.5</v>
      </c>
      <c r="J14" s="41">
        <f t="shared" ref="J14" si="1">J13+J12</f>
        <v>0</v>
      </c>
      <c r="K14" s="41">
        <f t="shared" ref="K14" si="2">K13+K12</f>
        <v>0</v>
      </c>
      <c r="L14" s="41">
        <f t="shared" ref="L14" si="3">L13+L12</f>
        <v>0</v>
      </c>
      <c r="M14" s="41">
        <f t="shared" ref="M14" si="4">M13+M12</f>
        <v>0</v>
      </c>
      <c r="N14" s="41">
        <f t="shared" ref="N14" si="5">N13+N12</f>
        <v>3553.2</v>
      </c>
      <c r="O14" s="41">
        <f t="shared" ref="O14" si="6">O13+O12</f>
        <v>857.40000000000009</v>
      </c>
      <c r="P14" s="41">
        <f t="shared" ref="P14" si="7">P13+P12</f>
        <v>976</v>
      </c>
      <c r="Q14" s="41">
        <f t="shared" ref="Q14" si="8">Q13+Q12</f>
        <v>1070.5999999999999</v>
      </c>
      <c r="R14" s="41">
        <f t="shared" ref="R14" si="9">R13+R12</f>
        <v>1062.8000000000002</v>
      </c>
      <c r="S14" s="41">
        <f t="shared" ref="S14" si="10">S13+S12</f>
        <v>3966.8</v>
      </c>
      <c r="T14" s="41">
        <f t="shared" ref="T14" si="11">T13+T12</f>
        <v>1009.4</v>
      </c>
      <c r="U14" s="41">
        <f t="shared" ref="U14" si="12">U13+U12</f>
        <v>1129.3</v>
      </c>
      <c r="V14" s="41">
        <f t="shared" ref="V14" si="13">V13+V12</f>
        <v>1166</v>
      </c>
      <c r="W14" s="41">
        <f t="shared" ref="W14" si="14">W13+W12</f>
        <v>1127.4000000000001</v>
      </c>
      <c r="X14" s="41">
        <f t="shared" ref="X14" si="15">X13+X12</f>
        <v>4432.1000000000004</v>
      </c>
      <c r="Y14" s="41">
        <f t="shared" ref="Y14" si="16">Y13+Y12</f>
        <v>1128.8</v>
      </c>
      <c r="Z14" s="41">
        <f t="shared" ref="Z14" si="17">Z13+Z12</f>
        <v>1272.2</v>
      </c>
      <c r="AA14" s="41">
        <f t="shared" ref="AA14" si="18">AA13+AA12</f>
        <v>1313</v>
      </c>
      <c r="AB14" s="41">
        <f t="shared" ref="AB14" si="19">AB13+AB12</f>
        <v>1285.2000000000003</v>
      </c>
      <c r="AC14" s="41">
        <f t="shared" ref="AC14:AE14" si="20">AC13+AC12</f>
        <v>4999.2</v>
      </c>
      <c r="AD14" s="41">
        <f>AD13+AD12</f>
        <v>1266.7</v>
      </c>
      <c r="AE14" s="41">
        <f t="shared" si="20"/>
        <v>1363.9</v>
      </c>
      <c r="AF14" s="46"/>
      <c r="AG14" s="46"/>
      <c r="AH14" s="45"/>
      <c r="AI14" s="45"/>
      <c r="AJ14" s="45"/>
    </row>
    <row r="15" spans="1:43" s="12" customFormat="1" x14ac:dyDescent="0.25">
      <c r="B15" s="1"/>
      <c r="C15" s="43"/>
      <c r="E15" s="44"/>
      <c r="F15" s="44"/>
      <c r="G15" s="44"/>
      <c r="H15" s="44"/>
      <c r="I15" s="41"/>
      <c r="J15" s="42"/>
      <c r="K15" s="42"/>
      <c r="L15" s="42"/>
      <c r="M15" s="42"/>
      <c r="N15" s="41"/>
      <c r="O15" s="42"/>
      <c r="P15" s="42"/>
      <c r="Q15" s="42"/>
      <c r="R15" s="42"/>
      <c r="S15" s="41"/>
      <c r="T15" s="42"/>
      <c r="U15" s="42"/>
      <c r="V15" s="42"/>
      <c r="W15" s="42"/>
      <c r="X15" s="41"/>
      <c r="Y15" s="42"/>
      <c r="Z15" s="42"/>
      <c r="AA15" s="42"/>
      <c r="AB15" s="42"/>
      <c r="AC15" s="41"/>
      <c r="AD15" s="46"/>
      <c r="AE15" s="46"/>
      <c r="AF15" s="46"/>
      <c r="AG15" s="46"/>
      <c r="AH15" s="45"/>
      <c r="AI15" s="45"/>
      <c r="AJ15" s="45"/>
    </row>
    <row r="16" spans="1:43" s="12" customFormat="1" x14ac:dyDescent="0.25">
      <c r="B16" s="3" t="s">
        <v>4</v>
      </c>
      <c r="C16" s="43"/>
      <c r="E16" s="44"/>
      <c r="F16" s="44"/>
      <c r="G16" s="44"/>
      <c r="H16" s="44"/>
      <c r="I16" s="41"/>
      <c r="J16" s="42"/>
      <c r="K16" s="42"/>
      <c r="L16" s="42"/>
      <c r="M16" s="42"/>
      <c r="N16" s="41"/>
      <c r="O16" s="42"/>
      <c r="P16" s="42"/>
      <c r="Q16" s="42"/>
      <c r="R16" s="42"/>
      <c r="S16" s="41"/>
      <c r="T16" s="42"/>
      <c r="U16" s="42"/>
      <c r="V16" s="42"/>
      <c r="W16" s="42"/>
      <c r="X16" s="41"/>
      <c r="Y16" s="42"/>
      <c r="Z16" s="42"/>
      <c r="AA16" s="42"/>
      <c r="AB16" s="42"/>
      <c r="AC16" s="41"/>
      <c r="AD16" s="46"/>
      <c r="AE16" s="46"/>
      <c r="AF16" s="46"/>
      <c r="AG16" s="46"/>
      <c r="AH16" s="45"/>
      <c r="AI16" s="45"/>
      <c r="AJ16" s="45"/>
    </row>
    <row r="17" spans="2:36" x14ac:dyDescent="0.25">
      <c r="B17" s="1" t="s">
        <v>1</v>
      </c>
      <c r="C17" s="30"/>
      <c r="E17" s="31"/>
      <c r="F17" s="31"/>
      <c r="G17" s="31"/>
      <c r="H17" s="31"/>
      <c r="I17" s="41">
        <v>890.6</v>
      </c>
      <c r="J17" s="42"/>
      <c r="K17" s="42"/>
      <c r="L17" s="42"/>
      <c r="M17" s="42"/>
      <c r="N17" s="41">
        <v>1071.4000000000001</v>
      </c>
      <c r="O17" s="42">
        <v>263.10000000000002</v>
      </c>
      <c r="P17" s="42">
        <v>272.89999999999998</v>
      </c>
      <c r="Q17" s="42">
        <v>259.39999999999998</v>
      </c>
      <c r="R17" s="42">
        <f>S17-Q17-P17-O17</f>
        <v>273.39999999999998</v>
      </c>
      <c r="S17" s="41">
        <v>1068.8</v>
      </c>
      <c r="T17" s="42">
        <v>334</v>
      </c>
      <c r="U17" s="42">
        <v>360.2</v>
      </c>
      <c r="V17" s="42">
        <v>329.5</v>
      </c>
      <c r="W17" s="42">
        <f>X17-V17-U17-T17</f>
        <v>374.59999999999991</v>
      </c>
      <c r="X17" s="41">
        <v>1398.3</v>
      </c>
      <c r="Y17" s="42">
        <v>352.6</v>
      </c>
      <c r="Z17" s="42">
        <v>363.9</v>
      </c>
      <c r="AA17" s="42">
        <v>378.5</v>
      </c>
      <c r="AB17" s="42">
        <f>AC17-AA17-Z17-Y17</f>
        <v>381.29999999999995</v>
      </c>
      <c r="AC17" s="41">
        <v>1476.3</v>
      </c>
      <c r="AD17" s="42">
        <v>352.6</v>
      </c>
      <c r="AE17" s="42">
        <v>360.5</v>
      </c>
      <c r="AF17" s="42"/>
      <c r="AG17" s="42"/>
      <c r="AH17" s="41"/>
      <c r="AI17" s="41"/>
      <c r="AJ17" s="41"/>
    </row>
    <row r="18" spans="2:36" s="12" customFormat="1" x14ac:dyDescent="0.25">
      <c r="B18" s="1" t="s">
        <v>2</v>
      </c>
      <c r="C18" s="43"/>
      <c r="E18" s="44"/>
      <c r="F18" s="44"/>
      <c r="G18" s="44"/>
      <c r="H18" s="44"/>
      <c r="I18" s="41">
        <v>82.2</v>
      </c>
      <c r="J18" s="42"/>
      <c r="K18" s="42"/>
      <c r="L18" s="42"/>
      <c r="M18" s="42"/>
      <c r="N18" s="41">
        <v>110.5</v>
      </c>
      <c r="O18" s="42">
        <v>29.6</v>
      </c>
      <c r="P18" s="42">
        <v>28.9</v>
      </c>
      <c r="Q18" s="42">
        <v>27.5</v>
      </c>
      <c r="R18" s="42">
        <f>S18-Q18-P18-O18</f>
        <v>26.799999999999997</v>
      </c>
      <c r="S18" s="41">
        <v>112.8</v>
      </c>
      <c r="T18" s="42">
        <v>28.8</v>
      </c>
      <c r="U18" s="42">
        <v>30.7</v>
      </c>
      <c r="V18" s="42">
        <v>27.1</v>
      </c>
      <c r="W18" s="42">
        <f>X18-V18-U18-T18</f>
        <v>25.599999999999991</v>
      </c>
      <c r="X18" s="41">
        <v>112.2</v>
      </c>
      <c r="Y18" s="42">
        <v>27.1</v>
      </c>
      <c r="Z18" s="42">
        <v>26.9</v>
      </c>
      <c r="AA18" s="42">
        <v>27.7</v>
      </c>
      <c r="AB18" s="42">
        <f>AC18-AA18-Z18-Y18</f>
        <v>28</v>
      </c>
      <c r="AC18" s="41">
        <v>109.7</v>
      </c>
      <c r="AD18" s="42">
        <v>27.3</v>
      </c>
      <c r="AE18" s="42">
        <v>29.2</v>
      </c>
      <c r="AF18" s="42"/>
      <c r="AG18" s="42"/>
      <c r="AH18" s="41"/>
      <c r="AI18" s="41"/>
      <c r="AJ18" s="41"/>
    </row>
    <row r="19" spans="2:36" x14ac:dyDescent="0.25">
      <c r="B19" s="3" t="s">
        <v>15</v>
      </c>
      <c r="C19" s="30"/>
      <c r="E19" s="31"/>
      <c r="F19" s="31"/>
      <c r="G19" s="31"/>
      <c r="H19" s="31"/>
      <c r="I19" s="41">
        <f>I18+I17</f>
        <v>972.80000000000007</v>
      </c>
      <c r="J19" s="41">
        <f t="shared" ref="J19" si="21">J18+J17</f>
        <v>0</v>
      </c>
      <c r="K19" s="41">
        <f t="shared" ref="K19" si="22">K18+K17</f>
        <v>0</v>
      </c>
      <c r="L19" s="41">
        <f t="shared" ref="L19" si="23">L18+L17</f>
        <v>0</v>
      </c>
      <c r="M19" s="41">
        <f t="shared" ref="M19" si="24">M18+M17</f>
        <v>0</v>
      </c>
      <c r="N19" s="41">
        <f t="shared" ref="N19" si="25">N18+N17</f>
        <v>1181.9000000000001</v>
      </c>
      <c r="O19" s="41">
        <f t="shared" ref="O19" si="26">O18+O17</f>
        <v>292.70000000000005</v>
      </c>
      <c r="P19" s="41">
        <f t="shared" ref="P19" si="27">P18+P17</f>
        <v>301.79999999999995</v>
      </c>
      <c r="Q19" s="41">
        <f t="shared" ref="Q19" si="28">Q18+Q17</f>
        <v>286.89999999999998</v>
      </c>
      <c r="R19" s="41">
        <f t="shared" ref="R19" si="29">R18+R17</f>
        <v>300.2</v>
      </c>
      <c r="S19" s="41">
        <f t="shared" ref="S19" si="30">S18+S17</f>
        <v>1181.5999999999999</v>
      </c>
      <c r="T19" s="41">
        <f t="shared" ref="T19" si="31">T18+T17</f>
        <v>362.8</v>
      </c>
      <c r="U19" s="41">
        <f t="shared" ref="U19" si="32">U18+U17</f>
        <v>390.9</v>
      </c>
      <c r="V19" s="41">
        <f t="shared" ref="V19" si="33">V18+V17</f>
        <v>356.6</v>
      </c>
      <c r="W19" s="41">
        <f t="shared" ref="W19" si="34">W18+W17</f>
        <v>400.19999999999987</v>
      </c>
      <c r="X19" s="41">
        <f t="shared" ref="X19" si="35">X18+X17</f>
        <v>1510.5</v>
      </c>
      <c r="Y19" s="41">
        <f t="shared" ref="Y19" si="36">Y18+Y17</f>
        <v>379.70000000000005</v>
      </c>
      <c r="Z19" s="41">
        <f t="shared" ref="Z19" si="37">Z18+Z17</f>
        <v>390.79999999999995</v>
      </c>
      <c r="AA19" s="41">
        <f t="shared" ref="AA19" si="38">AA18+AA17</f>
        <v>406.2</v>
      </c>
      <c r="AB19" s="41">
        <f t="shared" ref="AB19" si="39">AB18+AB17</f>
        <v>409.29999999999995</v>
      </c>
      <c r="AC19" s="41">
        <f t="shared" ref="AC19" si="40">AC18+AC17</f>
        <v>1586</v>
      </c>
      <c r="AD19" s="41">
        <f>AD18+AD17</f>
        <v>379.90000000000003</v>
      </c>
      <c r="AE19" s="41">
        <f t="shared" ref="AE19" si="41">AE18+AE17</f>
        <v>389.7</v>
      </c>
      <c r="AF19" s="42"/>
      <c r="AG19" s="42"/>
      <c r="AH19" s="41"/>
      <c r="AI19" s="41"/>
      <c r="AJ19" s="41"/>
    </row>
    <row r="20" spans="2:36" x14ac:dyDescent="0.25">
      <c r="B20" s="1"/>
      <c r="C20" s="30"/>
      <c r="E20" s="31"/>
      <c r="F20" s="31"/>
      <c r="G20" s="31"/>
      <c r="H20" s="31"/>
      <c r="I20" s="41"/>
      <c r="J20" s="42"/>
      <c r="K20" s="42"/>
      <c r="L20" s="42"/>
      <c r="M20" s="42"/>
      <c r="N20" s="41"/>
      <c r="O20" s="42"/>
      <c r="P20" s="42"/>
      <c r="Q20" s="42"/>
      <c r="R20" s="42"/>
      <c r="S20" s="41"/>
      <c r="T20" s="42"/>
      <c r="U20" s="42"/>
      <c r="V20" s="42"/>
      <c r="W20" s="42"/>
      <c r="X20" s="41"/>
      <c r="Y20" s="42"/>
      <c r="Z20" s="42"/>
      <c r="AA20" s="42"/>
      <c r="AB20" s="42"/>
      <c r="AC20" s="41"/>
      <c r="AD20" s="42"/>
      <c r="AE20" s="42"/>
      <c r="AF20" s="42"/>
      <c r="AG20" s="42"/>
      <c r="AH20" s="41"/>
      <c r="AI20" s="41"/>
      <c r="AJ20" s="41"/>
    </row>
    <row r="21" spans="2:36" x14ac:dyDescent="0.25">
      <c r="B21" s="3" t="s">
        <v>5</v>
      </c>
      <c r="C21" s="30"/>
      <c r="E21" s="31"/>
      <c r="F21" s="31"/>
      <c r="G21" s="31"/>
      <c r="H21" s="31"/>
      <c r="I21" s="41"/>
      <c r="J21" s="42"/>
      <c r="K21" s="42"/>
      <c r="L21" s="42"/>
      <c r="M21" s="42"/>
      <c r="N21" s="41"/>
      <c r="O21" s="42"/>
      <c r="P21" s="42"/>
      <c r="Q21" s="42"/>
      <c r="R21" s="42"/>
      <c r="S21" s="41"/>
      <c r="T21" s="42"/>
      <c r="U21" s="42"/>
      <c r="V21" s="42"/>
      <c r="W21" s="42"/>
      <c r="X21" s="41"/>
      <c r="Y21" s="42"/>
      <c r="Z21" s="42"/>
      <c r="AA21" s="42"/>
      <c r="AB21" s="42"/>
      <c r="AC21" s="41"/>
      <c r="AD21" s="42"/>
      <c r="AE21" s="42"/>
      <c r="AF21" s="42"/>
      <c r="AG21" s="42"/>
      <c r="AH21" s="41"/>
      <c r="AI21" s="41"/>
      <c r="AJ21" s="41"/>
    </row>
    <row r="22" spans="2:36" s="12" customFormat="1" x14ac:dyDescent="0.25">
      <c r="B22" s="1" t="s">
        <v>1</v>
      </c>
      <c r="C22" s="43"/>
      <c r="E22" s="44"/>
      <c r="F22" s="44"/>
      <c r="G22" s="44"/>
      <c r="H22" s="44"/>
      <c r="I22" s="41">
        <v>362.4</v>
      </c>
      <c r="J22" s="42"/>
      <c r="K22" s="42"/>
      <c r="L22" s="42"/>
      <c r="M22" s="42"/>
      <c r="N22" s="41">
        <v>274.5</v>
      </c>
      <c r="O22" s="42">
        <v>67.099999999999994</v>
      </c>
      <c r="P22" s="42">
        <v>74.2</v>
      </c>
      <c r="Q22" s="42">
        <v>82.7</v>
      </c>
      <c r="R22" s="42">
        <f>S22-Q22-P22-O22</f>
        <v>73.900000000000006</v>
      </c>
      <c r="S22" s="41">
        <v>297.89999999999998</v>
      </c>
      <c r="T22" s="42">
        <v>70</v>
      </c>
      <c r="U22" s="42">
        <v>85</v>
      </c>
      <c r="V22" s="42">
        <v>87.1</v>
      </c>
      <c r="W22" s="42">
        <f>X22-V22-U22-T22</f>
        <v>89.799999999999983</v>
      </c>
      <c r="X22" s="41">
        <v>331.9</v>
      </c>
      <c r="Y22" s="42">
        <v>0</v>
      </c>
      <c r="Z22" s="42">
        <v>0</v>
      </c>
      <c r="AA22" s="42">
        <v>91.6</v>
      </c>
      <c r="AB22" s="42">
        <f>AC22-AA22-Z22-Y22</f>
        <v>261.5</v>
      </c>
      <c r="AC22" s="41">
        <v>353.1</v>
      </c>
      <c r="AD22" s="46">
        <v>0</v>
      </c>
      <c r="AE22" s="46">
        <v>0</v>
      </c>
      <c r="AF22" s="46"/>
      <c r="AG22" s="46"/>
      <c r="AH22" s="45"/>
      <c r="AI22" s="45"/>
      <c r="AJ22" s="45"/>
    </row>
    <row r="23" spans="2:36" s="12" customFormat="1" x14ac:dyDescent="0.25">
      <c r="B23" s="1" t="s">
        <v>2</v>
      </c>
      <c r="C23" s="43"/>
      <c r="E23" s="44"/>
      <c r="F23" s="44"/>
      <c r="G23" s="44"/>
      <c r="H23" s="44"/>
      <c r="I23" s="41">
        <v>845.1</v>
      </c>
      <c r="J23" s="48"/>
      <c r="K23" s="48"/>
      <c r="L23" s="48"/>
      <c r="M23" s="48"/>
      <c r="N23" s="41">
        <v>809.8</v>
      </c>
      <c r="O23" s="42">
        <v>203.6</v>
      </c>
      <c r="P23" s="42">
        <v>231.3</v>
      </c>
      <c r="Q23" s="42">
        <v>241.5</v>
      </c>
      <c r="R23" s="42">
        <f>S23-Q23-P23-O23</f>
        <v>233.39999999999995</v>
      </c>
      <c r="S23" s="41">
        <v>909.8</v>
      </c>
      <c r="T23" s="48">
        <v>224</v>
      </c>
      <c r="U23" s="48">
        <v>251.6</v>
      </c>
      <c r="V23" s="48">
        <v>262.3</v>
      </c>
      <c r="W23" s="42">
        <f>X23-V23-U23-T23</f>
        <v>246.60000000000002</v>
      </c>
      <c r="X23" s="41">
        <v>984.5</v>
      </c>
      <c r="Y23" s="42">
        <v>243.4</v>
      </c>
      <c r="Z23" s="42">
        <v>269</v>
      </c>
      <c r="AA23" s="42">
        <v>290.5</v>
      </c>
      <c r="AB23" s="42">
        <f>AC23-AA23-Z23-Y23</f>
        <v>288.19999999999993</v>
      </c>
      <c r="AC23" s="41">
        <v>1091.0999999999999</v>
      </c>
      <c r="AD23" s="46">
        <v>266.10000000000002</v>
      </c>
      <c r="AE23" s="46">
        <v>295.7</v>
      </c>
      <c r="AF23" s="46"/>
      <c r="AG23" s="46"/>
      <c r="AH23" s="45"/>
      <c r="AI23" s="45"/>
      <c r="AJ23" s="45"/>
    </row>
    <row r="24" spans="2:36" x14ac:dyDescent="0.25">
      <c r="B24" s="3" t="s">
        <v>16</v>
      </c>
      <c r="C24" s="30"/>
      <c r="E24" s="31"/>
      <c r="F24" s="31"/>
      <c r="G24" s="31"/>
      <c r="H24" s="31"/>
      <c r="I24" s="41">
        <f>I23+I22</f>
        <v>1207.5</v>
      </c>
      <c r="J24" s="41">
        <f t="shared" ref="J24" si="42">J23+J22</f>
        <v>0</v>
      </c>
      <c r="K24" s="41">
        <f t="shared" ref="K24" si="43">K23+K22</f>
        <v>0</v>
      </c>
      <c r="L24" s="41">
        <f t="shared" ref="L24" si="44">L23+L22</f>
        <v>0</v>
      </c>
      <c r="M24" s="41">
        <f t="shared" ref="M24" si="45">M23+M22</f>
        <v>0</v>
      </c>
      <c r="N24" s="41">
        <f t="shared" ref="N24" si="46">N23+N22</f>
        <v>1084.3</v>
      </c>
      <c r="O24" s="41">
        <f t="shared" ref="O24" si="47">O23+O22</f>
        <v>270.7</v>
      </c>
      <c r="P24" s="41">
        <f t="shared" ref="P24" si="48">P23+P22</f>
        <v>305.5</v>
      </c>
      <c r="Q24" s="41">
        <f t="shared" ref="Q24" si="49">Q23+Q22</f>
        <v>324.2</v>
      </c>
      <c r="R24" s="41">
        <f t="shared" ref="R24" si="50">R23+R22</f>
        <v>307.29999999999995</v>
      </c>
      <c r="S24" s="41">
        <f t="shared" ref="S24" si="51">S23+S22</f>
        <v>1207.6999999999998</v>
      </c>
      <c r="T24" s="41">
        <f t="shared" ref="T24" si="52">T23+T22</f>
        <v>294</v>
      </c>
      <c r="U24" s="41">
        <f t="shared" ref="U24" si="53">U23+U22</f>
        <v>336.6</v>
      </c>
      <c r="V24" s="41">
        <f t="shared" ref="V24" si="54">V23+V22</f>
        <v>349.4</v>
      </c>
      <c r="W24" s="41">
        <f t="shared" ref="W24" si="55">W23+W22</f>
        <v>336.4</v>
      </c>
      <c r="X24" s="41">
        <f t="shared" ref="X24" si="56">X23+X22</f>
        <v>1316.4</v>
      </c>
      <c r="Y24" s="41">
        <f t="shared" ref="Y24" si="57">Y23+Y22</f>
        <v>243.4</v>
      </c>
      <c r="Z24" s="41">
        <f t="shared" ref="Z24" si="58">Z23+Z22</f>
        <v>269</v>
      </c>
      <c r="AA24" s="41">
        <f t="shared" ref="AA24" si="59">AA23+AA22</f>
        <v>382.1</v>
      </c>
      <c r="AB24" s="41">
        <f t="shared" ref="AB24" si="60">AB23+AB22</f>
        <v>549.69999999999993</v>
      </c>
      <c r="AC24" s="41">
        <f t="shared" ref="AC24" si="61">AC23+AC22</f>
        <v>1444.1999999999998</v>
      </c>
      <c r="AD24" s="41">
        <f>AD23+AD22</f>
        <v>266.10000000000002</v>
      </c>
      <c r="AE24" s="41">
        <f t="shared" ref="AE24" si="62">AE23+AE22</f>
        <v>295.7</v>
      </c>
      <c r="AF24" s="42"/>
      <c r="AG24" s="42"/>
      <c r="AH24" s="41"/>
      <c r="AI24" s="41"/>
      <c r="AJ24" s="41"/>
    </row>
    <row r="25" spans="2:36" x14ac:dyDescent="0.25">
      <c r="B25" s="1"/>
      <c r="C25" s="30"/>
      <c r="E25" s="31"/>
      <c r="F25" s="31"/>
      <c r="G25" s="31"/>
      <c r="H25" s="31"/>
      <c r="I25" s="41"/>
      <c r="J25" s="48"/>
      <c r="K25" s="48"/>
      <c r="L25" s="48"/>
      <c r="M25" s="48"/>
      <c r="N25" s="41"/>
      <c r="O25" s="42"/>
      <c r="P25" s="42"/>
      <c r="Q25" s="42"/>
      <c r="R25" s="42"/>
      <c r="S25" s="41"/>
      <c r="T25" s="48"/>
      <c r="U25" s="48"/>
      <c r="V25" s="48"/>
      <c r="W25" s="42"/>
      <c r="X25" s="41"/>
      <c r="Y25" s="42"/>
      <c r="Z25" s="42"/>
      <c r="AA25" s="42"/>
      <c r="AB25" s="42"/>
      <c r="AC25" s="41"/>
      <c r="AD25" s="42"/>
      <c r="AE25" s="42"/>
      <c r="AF25" s="42"/>
      <c r="AG25" s="42"/>
      <c r="AH25" s="41"/>
      <c r="AI25" s="41"/>
      <c r="AJ25" s="41"/>
    </row>
    <row r="26" spans="2:36" s="12" customFormat="1" x14ac:dyDescent="0.25">
      <c r="B26" s="3" t="s">
        <v>6</v>
      </c>
      <c r="C26" s="43"/>
      <c r="E26" s="44"/>
      <c r="F26" s="44"/>
      <c r="G26" s="44"/>
      <c r="H26" s="44"/>
      <c r="I26" s="41"/>
      <c r="J26" s="42"/>
      <c r="K26" s="42"/>
      <c r="L26" s="42"/>
      <c r="M26" s="42"/>
      <c r="N26" s="41"/>
      <c r="O26" s="42"/>
      <c r="P26" s="42"/>
      <c r="Q26" s="42"/>
      <c r="R26" s="42"/>
      <c r="S26" s="41"/>
      <c r="T26" s="42"/>
      <c r="U26" s="42"/>
      <c r="V26" s="42"/>
      <c r="W26" s="42"/>
      <c r="X26" s="41"/>
      <c r="Y26" s="42"/>
      <c r="Z26" s="42"/>
      <c r="AA26" s="42"/>
      <c r="AB26" s="42"/>
      <c r="AC26" s="41"/>
      <c r="AD26" s="42"/>
      <c r="AE26" s="42"/>
      <c r="AF26" s="42"/>
      <c r="AG26" s="42"/>
      <c r="AH26" s="41"/>
      <c r="AI26" s="41"/>
      <c r="AJ26" s="41"/>
    </row>
    <row r="27" spans="2:36" x14ac:dyDescent="0.25">
      <c r="B27" s="1" t="s">
        <v>1</v>
      </c>
      <c r="C27" s="30"/>
      <c r="E27" s="31"/>
      <c r="F27" s="31"/>
      <c r="G27" s="31"/>
      <c r="H27" s="31"/>
      <c r="I27" s="41">
        <v>0</v>
      </c>
      <c r="J27" s="42"/>
      <c r="K27" s="42"/>
      <c r="L27" s="42"/>
      <c r="M27" s="42"/>
      <c r="N27" s="41">
        <v>99.7</v>
      </c>
      <c r="O27" s="42">
        <v>33</v>
      </c>
      <c r="P27" s="42">
        <v>34.700000000000003</v>
      </c>
      <c r="Q27" s="42">
        <v>35.799999999999997</v>
      </c>
      <c r="R27" s="42">
        <f>S27-Q27-P27-O27</f>
        <v>34.400000000000006</v>
      </c>
      <c r="S27" s="41">
        <v>137.9</v>
      </c>
      <c r="T27" s="42">
        <v>34.700000000000003</v>
      </c>
      <c r="U27" s="42">
        <v>33.9</v>
      </c>
      <c r="V27" s="42">
        <v>27.7</v>
      </c>
      <c r="W27" s="42">
        <f>X27-V27-U27-T27</f>
        <v>27.4</v>
      </c>
      <c r="X27" s="41">
        <v>123.7</v>
      </c>
      <c r="Y27" s="42">
        <v>10.6</v>
      </c>
      <c r="Z27" s="42">
        <v>10.6</v>
      </c>
      <c r="AA27" s="42">
        <v>15</v>
      </c>
      <c r="AB27" s="42">
        <f>AC27-AA27-Z27-Y27</f>
        <v>32.799999999999997</v>
      </c>
      <c r="AC27" s="41">
        <v>69</v>
      </c>
      <c r="AD27" s="42">
        <v>0</v>
      </c>
      <c r="AE27" s="42">
        <v>0</v>
      </c>
      <c r="AF27" s="42"/>
      <c r="AG27" s="42"/>
      <c r="AH27" s="41"/>
      <c r="AI27" s="41"/>
      <c r="AJ27" s="41"/>
    </row>
    <row r="28" spans="2:36" x14ac:dyDescent="0.25">
      <c r="B28" s="1" t="s">
        <v>2</v>
      </c>
      <c r="C28" s="30"/>
      <c r="E28" s="31"/>
      <c r="F28" s="31"/>
      <c r="G28" s="31"/>
      <c r="H28" s="31"/>
      <c r="I28" s="41">
        <v>0</v>
      </c>
      <c r="J28" s="42"/>
      <c r="K28" s="42"/>
      <c r="L28" s="42"/>
      <c r="M28" s="42"/>
      <c r="N28" s="41">
        <v>0.3</v>
      </c>
      <c r="O28" s="42">
        <v>0.2</v>
      </c>
      <c r="P28" s="42">
        <v>0</v>
      </c>
      <c r="Q28" s="42">
        <v>0.2</v>
      </c>
      <c r="R28" s="42">
        <f>S28-Q28-P28-O28</f>
        <v>0.8</v>
      </c>
      <c r="S28" s="41">
        <v>1.2</v>
      </c>
      <c r="T28" s="42">
        <v>0.1</v>
      </c>
      <c r="U28" s="42">
        <v>0</v>
      </c>
      <c r="V28" s="42">
        <v>0</v>
      </c>
      <c r="W28" s="42">
        <f>X28-V28-U28-T28</f>
        <v>0</v>
      </c>
      <c r="X28" s="41">
        <v>0.1</v>
      </c>
      <c r="Y28" s="42">
        <v>0</v>
      </c>
      <c r="Z28" s="42">
        <v>0</v>
      </c>
      <c r="AA28" s="42">
        <v>0</v>
      </c>
      <c r="AB28" s="42">
        <f>AC28-AA28-Z28-Y28</f>
        <v>0</v>
      </c>
      <c r="AC28" s="41">
        <v>0</v>
      </c>
      <c r="AD28" s="42">
        <v>0</v>
      </c>
      <c r="AE28" s="42">
        <v>0</v>
      </c>
      <c r="AF28" s="42"/>
      <c r="AG28" s="42"/>
      <c r="AH28" s="41"/>
      <c r="AI28" s="41"/>
      <c r="AJ28" s="41"/>
    </row>
    <row r="29" spans="2:36" x14ac:dyDescent="0.25">
      <c r="B29" s="3" t="s">
        <v>17</v>
      </c>
      <c r="C29" s="30"/>
      <c r="E29" s="31"/>
      <c r="F29" s="31"/>
      <c r="G29" s="31"/>
      <c r="H29" s="31"/>
      <c r="I29" s="41">
        <f>I28+I27</f>
        <v>0</v>
      </c>
      <c r="J29" s="41">
        <f t="shared" ref="J29" si="63">J28+J27</f>
        <v>0</v>
      </c>
      <c r="K29" s="41">
        <f t="shared" ref="K29" si="64">K28+K27</f>
        <v>0</v>
      </c>
      <c r="L29" s="41">
        <f t="shared" ref="L29" si="65">L28+L27</f>
        <v>0</v>
      </c>
      <c r="M29" s="41">
        <f t="shared" ref="M29" si="66">M28+M27</f>
        <v>0</v>
      </c>
      <c r="N29" s="41">
        <f t="shared" ref="N29" si="67">N28+N27</f>
        <v>100</v>
      </c>
      <c r="O29" s="41">
        <f t="shared" ref="O29" si="68">O28+O27</f>
        <v>33.200000000000003</v>
      </c>
      <c r="P29" s="41">
        <f t="shared" ref="P29" si="69">P28+P27</f>
        <v>34.700000000000003</v>
      </c>
      <c r="Q29" s="41">
        <f t="shared" ref="Q29" si="70">Q28+Q27</f>
        <v>36</v>
      </c>
      <c r="R29" s="41">
        <f t="shared" ref="R29" si="71">R28+R27</f>
        <v>35.200000000000003</v>
      </c>
      <c r="S29" s="41">
        <f t="shared" ref="S29" si="72">S28+S27</f>
        <v>139.1</v>
      </c>
      <c r="T29" s="41">
        <f t="shared" ref="T29" si="73">T28+T27</f>
        <v>34.800000000000004</v>
      </c>
      <c r="U29" s="41">
        <f t="shared" ref="U29" si="74">U28+U27</f>
        <v>33.9</v>
      </c>
      <c r="V29" s="41">
        <f t="shared" ref="V29" si="75">V28+V27</f>
        <v>27.7</v>
      </c>
      <c r="W29" s="41">
        <f t="shared" ref="W29" si="76">W28+W27</f>
        <v>27.4</v>
      </c>
      <c r="X29" s="41">
        <f t="shared" ref="X29" si="77">X28+X27</f>
        <v>123.8</v>
      </c>
      <c r="Y29" s="41">
        <f t="shared" ref="Y29" si="78">Y28+Y27</f>
        <v>10.6</v>
      </c>
      <c r="Z29" s="41">
        <f t="shared" ref="Z29" si="79">Z28+Z27</f>
        <v>10.6</v>
      </c>
      <c r="AA29" s="41">
        <f t="shared" ref="AA29" si="80">AA28+AA27</f>
        <v>15</v>
      </c>
      <c r="AB29" s="41">
        <f t="shared" ref="AB29" si="81">AB28+AB27</f>
        <v>32.799999999999997</v>
      </c>
      <c r="AC29" s="41">
        <f t="shared" ref="AC29" si="82">AC28+AC27</f>
        <v>69</v>
      </c>
      <c r="AD29" s="41">
        <f>AD28+AD27</f>
        <v>0</v>
      </c>
      <c r="AE29" s="41">
        <f t="shared" ref="AE29" si="83">AE28+AE27</f>
        <v>0</v>
      </c>
      <c r="AF29" s="42"/>
      <c r="AG29" s="42"/>
      <c r="AH29" s="41"/>
      <c r="AI29" s="41"/>
      <c r="AJ29" s="41"/>
    </row>
    <row r="30" spans="2:36" s="12" customFormat="1" x14ac:dyDescent="0.25">
      <c r="B30" s="1"/>
      <c r="C30" s="43"/>
      <c r="E30" s="44"/>
      <c r="F30" s="44"/>
      <c r="G30" s="44"/>
      <c r="H30" s="44"/>
      <c r="I30" s="41"/>
      <c r="J30" s="42"/>
      <c r="K30" s="42"/>
      <c r="L30" s="42"/>
      <c r="M30" s="42"/>
      <c r="N30" s="41"/>
      <c r="O30" s="42"/>
      <c r="P30" s="42"/>
      <c r="Q30" s="42"/>
      <c r="R30" s="42"/>
      <c r="S30" s="41"/>
      <c r="T30" s="42"/>
      <c r="U30" s="42"/>
      <c r="V30" s="42"/>
      <c r="W30" s="42"/>
      <c r="X30" s="41"/>
      <c r="Y30" s="42"/>
      <c r="Z30" s="42"/>
      <c r="AA30" s="42"/>
      <c r="AB30" s="42"/>
      <c r="AC30" s="41"/>
      <c r="AD30" s="46"/>
      <c r="AE30" s="46"/>
      <c r="AF30" s="46"/>
      <c r="AG30" s="46"/>
      <c r="AH30" s="45"/>
      <c r="AI30" s="45"/>
      <c r="AJ30" s="45"/>
    </row>
    <row r="31" spans="2:36" x14ac:dyDescent="0.25">
      <c r="B31" s="3" t="s">
        <v>7</v>
      </c>
      <c r="C31" s="30"/>
      <c r="E31" s="31"/>
      <c r="F31" s="31"/>
      <c r="G31" s="31"/>
      <c r="H31" s="31"/>
      <c r="I31" s="41"/>
      <c r="J31" s="42"/>
      <c r="K31" s="42"/>
      <c r="L31" s="42"/>
      <c r="M31" s="42"/>
      <c r="N31" s="41"/>
      <c r="O31" s="42"/>
      <c r="P31" s="42"/>
      <c r="Q31" s="42"/>
      <c r="R31" s="42"/>
      <c r="S31" s="41"/>
      <c r="T31" s="42"/>
      <c r="U31" s="42"/>
      <c r="V31" s="42"/>
      <c r="W31" s="42"/>
      <c r="X31" s="41"/>
      <c r="Y31" s="42"/>
      <c r="Z31" s="42"/>
      <c r="AA31" s="42"/>
      <c r="AB31" s="42"/>
      <c r="AC31" s="41"/>
      <c r="AD31" s="42"/>
      <c r="AE31" s="42"/>
      <c r="AF31" s="42"/>
      <c r="AG31" s="42"/>
      <c r="AH31" s="41"/>
      <c r="AI31" s="41"/>
      <c r="AJ31" s="41"/>
    </row>
    <row r="32" spans="2:36" x14ac:dyDescent="0.25">
      <c r="B32" s="2" t="s">
        <v>8</v>
      </c>
      <c r="C32" s="30"/>
      <c r="E32" s="31"/>
      <c r="F32" s="31"/>
      <c r="G32" s="31"/>
      <c r="H32" s="31"/>
      <c r="I32" s="41">
        <f>I27+I22+I17+I12+I7</f>
        <v>10129</v>
      </c>
      <c r="J32" s="41">
        <f t="shared" ref="J32:AC32" si="84">J27+J22+J17+J12+J7</f>
        <v>0</v>
      </c>
      <c r="K32" s="41">
        <f t="shared" si="84"/>
        <v>0</v>
      </c>
      <c r="L32" s="41">
        <f t="shared" si="84"/>
        <v>0</v>
      </c>
      <c r="M32" s="41">
        <f t="shared" si="84"/>
        <v>0</v>
      </c>
      <c r="N32" s="41">
        <f t="shared" si="84"/>
        <v>9466.6</v>
      </c>
      <c r="O32" s="41">
        <f t="shared" si="84"/>
        <v>2293.4</v>
      </c>
      <c r="P32" s="41">
        <f t="shared" si="84"/>
        <v>2514.4</v>
      </c>
      <c r="Q32" s="41">
        <f t="shared" si="84"/>
        <v>2653.8</v>
      </c>
      <c r="R32" s="41">
        <f t="shared" si="84"/>
        <v>2691.7</v>
      </c>
      <c r="S32" s="41">
        <f t="shared" si="84"/>
        <v>10153.299999999999</v>
      </c>
      <c r="T32" s="41">
        <f t="shared" si="84"/>
        <v>2624.1000000000004</v>
      </c>
      <c r="U32" s="41">
        <f t="shared" si="84"/>
        <v>2886.8</v>
      </c>
      <c r="V32" s="41">
        <f t="shared" si="84"/>
        <v>2963</v>
      </c>
      <c r="W32" s="41">
        <f t="shared" si="84"/>
        <v>2972.2999999999997</v>
      </c>
      <c r="X32" s="41">
        <f t="shared" si="84"/>
        <v>11446.2</v>
      </c>
      <c r="Y32" s="41">
        <f t="shared" si="84"/>
        <v>2876.3</v>
      </c>
      <c r="Z32" s="41">
        <f t="shared" si="84"/>
        <v>3104.8</v>
      </c>
      <c r="AA32" s="41">
        <f t="shared" si="84"/>
        <v>3170.9</v>
      </c>
      <c r="AB32" s="41">
        <f t="shared" si="84"/>
        <v>3164.8</v>
      </c>
      <c r="AC32" s="41">
        <f t="shared" si="84"/>
        <v>12316.8</v>
      </c>
      <c r="AD32" s="41">
        <f>AD27+AD22+AD17+AD12+AD7</f>
        <v>2986.5</v>
      </c>
      <c r="AE32" s="41">
        <f t="shared" ref="AE32" si="85">AE27+AE22+AE17+AE12+AE7</f>
        <v>3173.1000000000004</v>
      </c>
      <c r="AF32" s="42"/>
      <c r="AG32" s="42"/>
      <c r="AH32" s="41"/>
      <c r="AI32" s="41"/>
      <c r="AJ32" s="41"/>
    </row>
    <row r="33" spans="2:36" x14ac:dyDescent="0.25">
      <c r="B33" s="2" t="s">
        <v>9</v>
      </c>
      <c r="C33" s="30"/>
      <c r="E33" s="31"/>
      <c r="F33" s="31"/>
      <c r="G33" s="31"/>
      <c r="H33" s="31"/>
      <c r="I33" s="41">
        <f>I28+I23+I18+I13+I8</f>
        <v>2433</v>
      </c>
      <c r="J33" s="41">
        <f t="shared" ref="J33:AC33" si="86">J28+J23+J18+J13+J8</f>
        <v>0</v>
      </c>
      <c r="K33" s="41">
        <f t="shared" si="86"/>
        <v>0</v>
      </c>
      <c r="L33" s="41">
        <f t="shared" si="86"/>
        <v>0</v>
      </c>
      <c r="M33" s="41">
        <f t="shared" si="86"/>
        <v>0</v>
      </c>
      <c r="N33" s="41">
        <f t="shared" si="86"/>
        <v>2323.6</v>
      </c>
      <c r="O33" s="41">
        <f t="shared" si="86"/>
        <v>591.59999999999991</v>
      </c>
      <c r="P33" s="41">
        <f t="shared" si="86"/>
        <v>648.1</v>
      </c>
      <c r="Q33" s="41">
        <f t="shared" si="86"/>
        <v>667</v>
      </c>
      <c r="R33" s="41">
        <f t="shared" si="86"/>
        <v>673.09999999999991</v>
      </c>
      <c r="S33" s="41">
        <f t="shared" si="86"/>
        <v>2579.8000000000002</v>
      </c>
      <c r="T33" s="41">
        <f t="shared" si="86"/>
        <v>642.6</v>
      </c>
      <c r="U33" s="41">
        <f t="shared" si="86"/>
        <v>693.8</v>
      </c>
      <c r="V33" s="41">
        <f t="shared" si="86"/>
        <v>706.3</v>
      </c>
      <c r="W33" s="41">
        <f t="shared" si="86"/>
        <v>698.89999999999986</v>
      </c>
      <c r="X33" s="41">
        <f t="shared" si="86"/>
        <v>2741.6</v>
      </c>
      <c r="Y33" s="41">
        <f t="shared" si="86"/>
        <v>695.3</v>
      </c>
      <c r="Z33" s="41">
        <f t="shared" si="86"/>
        <v>747.3</v>
      </c>
      <c r="AA33" s="41">
        <f t="shared" si="86"/>
        <v>787.2</v>
      </c>
      <c r="AB33" s="41">
        <f t="shared" si="86"/>
        <v>773.59999999999991</v>
      </c>
      <c r="AC33" s="41">
        <f t="shared" si="86"/>
        <v>3003.3999999999996</v>
      </c>
      <c r="AD33" s="41">
        <f t="shared" ref="AD33:AE33" si="87">AD28+AD23+AD18+AD13+AD8</f>
        <v>765.40000000000009</v>
      </c>
      <c r="AE33" s="41">
        <f t="shared" si="87"/>
        <v>812.7</v>
      </c>
      <c r="AF33" s="42"/>
      <c r="AG33" s="42"/>
      <c r="AH33" s="41"/>
      <c r="AI33" s="41"/>
      <c r="AJ33" s="41"/>
    </row>
    <row r="34" spans="2:36" x14ac:dyDescent="0.25">
      <c r="B34" s="12" t="s">
        <v>178</v>
      </c>
      <c r="C34" s="30"/>
      <c r="E34" s="31"/>
      <c r="F34" s="31"/>
      <c r="G34" s="31"/>
      <c r="H34" s="31"/>
      <c r="I34" s="41">
        <f>I33+I32</f>
        <v>12562</v>
      </c>
      <c r="J34" s="41">
        <f t="shared" ref="J34:AC34" si="88">J33+J32</f>
        <v>0</v>
      </c>
      <c r="K34" s="41">
        <f t="shared" si="88"/>
        <v>0</v>
      </c>
      <c r="L34" s="41">
        <f t="shared" si="88"/>
        <v>0</v>
      </c>
      <c r="M34" s="41">
        <f t="shared" si="88"/>
        <v>0</v>
      </c>
      <c r="N34" s="41">
        <f t="shared" si="88"/>
        <v>11790.2</v>
      </c>
      <c r="O34" s="41">
        <f t="shared" si="88"/>
        <v>2885</v>
      </c>
      <c r="P34" s="41">
        <f t="shared" si="88"/>
        <v>3162.5</v>
      </c>
      <c r="Q34" s="41">
        <f t="shared" si="88"/>
        <v>3320.8</v>
      </c>
      <c r="R34" s="41">
        <f t="shared" si="88"/>
        <v>3364.7999999999997</v>
      </c>
      <c r="S34" s="41">
        <f t="shared" si="88"/>
        <v>12733.099999999999</v>
      </c>
      <c r="T34" s="41">
        <f t="shared" si="88"/>
        <v>3266.7000000000003</v>
      </c>
      <c r="U34" s="41">
        <f t="shared" si="88"/>
        <v>3580.6000000000004</v>
      </c>
      <c r="V34" s="41">
        <f t="shared" si="88"/>
        <v>3669.3</v>
      </c>
      <c r="W34" s="41">
        <f t="shared" si="88"/>
        <v>3671.2</v>
      </c>
      <c r="X34" s="41">
        <f t="shared" si="88"/>
        <v>14187.800000000001</v>
      </c>
      <c r="Y34" s="41">
        <f t="shared" si="88"/>
        <v>3571.6000000000004</v>
      </c>
      <c r="Z34" s="41">
        <f t="shared" si="88"/>
        <v>3852.1000000000004</v>
      </c>
      <c r="AA34" s="41">
        <f t="shared" si="88"/>
        <v>3958.1000000000004</v>
      </c>
      <c r="AB34" s="41">
        <f t="shared" si="88"/>
        <v>3938.4</v>
      </c>
      <c r="AC34" s="41">
        <f t="shared" si="88"/>
        <v>15320.199999999999</v>
      </c>
      <c r="AD34" s="41">
        <f t="shared" ref="AD34:AE34" si="89">AD33+AD32</f>
        <v>3751.9</v>
      </c>
      <c r="AE34" s="41">
        <f t="shared" si="89"/>
        <v>3985.8</v>
      </c>
      <c r="AF34" s="42"/>
      <c r="AG34" s="42"/>
      <c r="AH34" s="41"/>
      <c r="AI34" s="41"/>
      <c r="AJ34" s="41"/>
    </row>
    <row r="35" spans="2:36" x14ac:dyDescent="0.25">
      <c r="C35" s="30"/>
      <c r="E35" s="31"/>
      <c r="F35" s="31"/>
      <c r="G35" s="31"/>
      <c r="H35" s="31"/>
      <c r="I35" s="41"/>
      <c r="J35" s="42"/>
      <c r="K35" s="42"/>
      <c r="L35" s="42"/>
      <c r="M35" s="42"/>
      <c r="N35" s="41"/>
      <c r="O35" s="42"/>
      <c r="P35" s="42"/>
      <c r="Q35" s="42"/>
      <c r="R35" s="42"/>
      <c r="S35" s="41"/>
      <c r="T35" s="42"/>
      <c r="U35" s="42"/>
      <c r="V35" s="42"/>
      <c r="W35" s="42"/>
      <c r="X35" s="41"/>
      <c r="Y35" s="42"/>
      <c r="Z35" s="42"/>
      <c r="AA35" s="42"/>
      <c r="AB35" s="42"/>
      <c r="AC35" s="41"/>
      <c r="AD35" s="42"/>
      <c r="AE35" s="42"/>
      <c r="AF35" s="42"/>
      <c r="AG35" s="42"/>
      <c r="AH35" s="41"/>
      <c r="AI35" s="41"/>
      <c r="AJ35" s="41"/>
    </row>
    <row r="36" spans="2:36" x14ac:dyDescent="0.25">
      <c r="B36" s="2" t="s">
        <v>190</v>
      </c>
      <c r="C36" s="30"/>
      <c r="E36" s="31"/>
      <c r="F36" s="31"/>
      <c r="G36" s="31"/>
      <c r="H36" s="31"/>
      <c r="I36" s="41">
        <v>5617.5</v>
      </c>
      <c r="J36" s="42"/>
      <c r="K36" s="42"/>
      <c r="L36" s="42"/>
      <c r="M36" s="42"/>
      <c r="N36" s="41">
        <v>5481.3</v>
      </c>
      <c r="O36" s="42">
        <v>1362.9</v>
      </c>
      <c r="P36" s="42">
        <v>1464.9</v>
      </c>
      <c r="Q36" s="42">
        <v>1625.1</v>
      </c>
      <c r="R36" s="42">
        <f>S36-Q36-P36-O36</f>
        <v>1647.9999999999991</v>
      </c>
      <c r="S36" s="41">
        <v>6100.9</v>
      </c>
      <c r="T36" s="42">
        <v>1695.6</v>
      </c>
      <c r="U36" s="42">
        <v>1799</v>
      </c>
      <c r="V36" s="42">
        <v>1877.1</v>
      </c>
      <c r="W36" s="42">
        <f>X36-V36-U36-T36</f>
        <v>1841.1000000000008</v>
      </c>
      <c r="X36" s="41">
        <v>7212.8</v>
      </c>
      <c r="Y36" s="42">
        <v>1798.3</v>
      </c>
      <c r="Z36" s="42">
        <v>1895.3</v>
      </c>
      <c r="AA36" s="42">
        <v>1868.1</v>
      </c>
      <c r="AB36" s="42">
        <f>AC36-AA36-Z36-Y36</f>
        <v>1827.5000000000002</v>
      </c>
      <c r="AC36" s="41">
        <v>7389.2</v>
      </c>
      <c r="AD36" s="50">
        <v>1679.2</v>
      </c>
      <c r="AE36" s="50">
        <v>1770.6</v>
      </c>
      <c r="AF36" s="50"/>
      <c r="AG36" s="50"/>
      <c r="AH36" s="49"/>
      <c r="AI36" s="49"/>
      <c r="AJ36" s="49"/>
    </row>
    <row r="37" spans="2:36" x14ac:dyDescent="0.25">
      <c r="B37" s="2" t="s">
        <v>191</v>
      </c>
      <c r="C37" s="30"/>
      <c r="E37" s="31"/>
      <c r="F37" s="31"/>
      <c r="G37" s="31"/>
      <c r="H37" s="31"/>
      <c r="I37" s="41">
        <v>1428.3</v>
      </c>
      <c r="J37" s="41"/>
      <c r="K37" s="41"/>
      <c r="L37" s="41"/>
      <c r="M37" s="41"/>
      <c r="N37" s="41">
        <v>1424.5</v>
      </c>
      <c r="O37" s="42">
        <v>349.1</v>
      </c>
      <c r="P37" s="42">
        <v>379.1</v>
      </c>
      <c r="Q37" s="42">
        <v>391.6</v>
      </c>
      <c r="R37" s="42">
        <f t="shared" ref="R37:R55" si="90">S37-Q37-P37-O37</f>
        <v>395.10000000000014</v>
      </c>
      <c r="S37" s="41">
        <v>1514.9</v>
      </c>
      <c r="T37" s="42">
        <v>377.8</v>
      </c>
      <c r="U37" s="254">
        <v>412.1</v>
      </c>
      <c r="V37" s="42">
        <v>414.5</v>
      </c>
      <c r="W37" s="42">
        <f t="shared" ref="W37:W56" si="91">X37-V37-U37-T37</f>
        <v>413.8</v>
      </c>
      <c r="X37" s="41">
        <v>1618.2</v>
      </c>
      <c r="Y37" s="42">
        <v>406.9</v>
      </c>
      <c r="Z37" s="42">
        <v>439.5</v>
      </c>
      <c r="AA37" s="42">
        <v>462.4</v>
      </c>
      <c r="AB37" s="42">
        <f>AC37-AA37-Z37-Y37</f>
        <v>456.9000000000002</v>
      </c>
      <c r="AC37" s="41">
        <v>1765.7</v>
      </c>
      <c r="AD37" s="17">
        <v>448.9</v>
      </c>
      <c r="AE37" s="42">
        <v>470.4</v>
      </c>
      <c r="AF37" s="42"/>
      <c r="AG37" s="42"/>
      <c r="AH37" s="41"/>
      <c r="AI37" s="41"/>
      <c r="AJ37" s="41"/>
    </row>
    <row r="38" spans="2:36" x14ac:dyDescent="0.25">
      <c r="B38" s="4" t="s">
        <v>179</v>
      </c>
      <c r="C38" s="30"/>
      <c r="E38" s="31"/>
      <c r="F38" s="31"/>
      <c r="G38" s="31"/>
      <c r="H38" s="31"/>
      <c r="I38" s="41">
        <v>7045.8</v>
      </c>
      <c r="J38" s="41"/>
      <c r="K38" s="41"/>
      <c r="L38" s="41"/>
      <c r="M38" s="41"/>
      <c r="N38" s="41">
        <v>6905.8</v>
      </c>
      <c r="O38" s="42">
        <v>1712</v>
      </c>
      <c r="P38" s="42">
        <v>1844</v>
      </c>
      <c r="Q38" s="42">
        <v>2016.7</v>
      </c>
      <c r="R38" s="42">
        <f t="shared" si="90"/>
        <v>2043.1000000000004</v>
      </c>
      <c r="S38" s="41">
        <v>7615.8</v>
      </c>
      <c r="T38" s="42">
        <v>2073.4</v>
      </c>
      <c r="U38" s="42">
        <v>2211.1</v>
      </c>
      <c r="V38" s="42">
        <v>2291.6</v>
      </c>
      <c r="W38" s="42">
        <f t="shared" si="91"/>
        <v>2254.8999999999992</v>
      </c>
      <c r="X38" s="41">
        <v>8831</v>
      </c>
      <c r="Y38" s="42">
        <v>2205.1999999999998</v>
      </c>
      <c r="Z38" s="42">
        <v>2334.8000000000002</v>
      </c>
      <c r="AA38" s="42">
        <v>2330.5</v>
      </c>
      <c r="AB38" s="42">
        <f t="shared" ref="AB38:AB56" si="92">AC38-AA38-Z38-Y38</f>
        <v>2284.3999999999996</v>
      </c>
      <c r="AC38" s="41">
        <v>9154.9</v>
      </c>
      <c r="AD38" s="42">
        <v>2128.1</v>
      </c>
      <c r="AE38" s="42">
        <v>2241</v>
      </c>
      <c r="AF38" s="42"/>
      <c r="AG38" s="42"/>
      <c r="AH38" s="41"/>
      <c r="AI38" s="41"/>
      <c r="AJ38" s="41"/>
    </row>
    <row r="39" spans="2:36" x14ac:dyDescent="0.25">
      <c r="B39" s="4"/>
      <c r="C39" s="30"/>
      <c r="E39" s="31"/>
      <c r="F39" s="31"/>
      <c r="G39" s="31"/>
      <c r="H39" s="31"/>
      <c r="I39" s="41"/>
      <c r="J39" s="41"/>
      <c r="K39" s="41"/>
      <c r="L39" s="41"/>
      <c r="M39" s="41"/>
      <c r="N39" s="41"/>
      <c r="O39" s="42"/>
      <c r="P39" s="42"/>
      <c r="Q39" s="42"/>
      <c r="R39" s="42"/>
      <c r="S39" s="41"/>
      <c r="T39" s="42"/>
      <c r="U39" s="42"/>
      <c r="V39" s="42"/>
      <c r="W39" s="42"/>
      <c r="X39" s="41"/>
      <c r="Y39" s="42"/>
      <c r="Z39" s="42"/>
      <c r="AA39" s="42"/>
      <c r="AB39" s="42"/>
      <c r="AC39" s="41"/>
      <c r="AD39" s="42"/>
      <c r="AE39" s="42"/>
      <c r="AF39" s="42"/>
      <c r="AG39" s="42"/>
      <c r="AH39" s="41"/>
      <c r="AI39" s="41"/>
      <c r="AJ39" s="41"/>
    </row>
    <row r="40" spans="2:36" x14ac:dyDescent="0.25">
      <c r="B40" s="2" t="s">
        <v>180</v>
      </c>
      <c r="C40" s="30"/>
      <c r="E40" s="31"/>
      <c r="F40" s="31"/>
      <c r="G40" s="31"/>
      <c r="H40" s="31"/>
      <c r="I40" s="41">
        <v>3550.8</v>
      </c>
      <c r="J40" s="41"/>
      <c r="K40" s="41"/>
      <c r="L40" s="41"/>
      <c r="M40" s="41"/>
      <c r="N40" s="41">
        <v>3309.1</v>
      </c>
      <c r="O40" s="42">
        <v>862.9</v>
      </c>
      <c r="P40" s="42">
        <v>853.3</v>
      </c>
      <c r="Q40" s="42">
        <v>832</v>
      </c>
      <c r="R40" s="42">
        <f t="shared" si="90"/>
        <v>867.9</v>
      </c>
      <c r="S40" s="41">
        <v>3416.1</v>
      </c>
      <c r="T40" s="42">
        <v>914.7</v>
      </c>
      <c r="U40" s="42">
        <v>940.1</v>
      </c>
      <c r="V40" s="42">
        <v>876.9</v>
      </c>
      <c r="W40" s="42">
        <f t="shared" si="91"/>
        <v>922.10000000000014</v>
      </c>
      <c r="X40" s="41">
        <v>3653.8</v>
      </c>
      <c r="Y40" s="42">
        <v>990.3</v>
      </c>
      <c r="Z40" s="42">
        <v>1011.6</v>
      </c>
      <c r="AA40" s="42">
        <v>1024.9000000000001</v>
      </c>
      <c r="AB40" s="42">
        <f t="shared" si="92"/>
        <v>1034.8</v>
      </c>
      <c r="AC40" s="41">
        <v>4061.6</v>
      </c>
      <c r="AD40" s="42">
        <v>1077.7</v>
      </c>
      <c r="AE40" s="42">
        <v>1075.7</v>
      </c>
      <c r="AF40" s="42"/>
      <c r="AG40" s="42"/>
      <c r="AH40" s="41"/>
      <c r="AI40" s="41"/>
      <c r="AJ40" s="41"/>
    </row>
    <row r="41" spans="2:36" x14ac:dyDescent="0.25">
      <c r="B41" s="1" t="s">
        <v>181</v>
      </c>
      <c r="I41" s="41">
        <v>120.2</v>
      </c>
      <c r="J41" s="41"/>
      <c r="K41" s="41"/>
      <c r="L41" s="41"/>
      <c r="M41" s="41"/>
      <c r="N41" s="41">
        <v>179.6</v>
      </c>
      <c r="O41" s="42">
        <v>12.8</v>
      </c>
      <c r="P41" s="42">
        <v>17.600000000000001</v>
      </c>
      <c r="Q41" s="42">
        <v>6.3</v>
      </c>
      <c r="R41" s="42">
        <f t="shared" si="90"/>
        <v>65.899999999999991</v>
      </c>
      <c r="S41" s="41">
        <v>102.6</v>
      </c>
      <c r="T41" s="42">
        <v>24.1</v>
      </c>
      <c r="U41" s="42">
        <v>3.6</v>
      </c>
      <c r="V41" s="42">
        <v>17.8</v>
      </c>
      <c r="W41" s="42">
        <f t="shared" si="91"/>
        <v>95</v>
      </c>
      <c r="X41" s="41">
        <v>140.5</v>
      </c>
      <c r="Y41" s="42">
        <v>24.5</v>
      </c>
      <c r="Z41" s="42">
        <v>21</v>
      </c>
      <c r="AA41" s="42">
        <v>36.700000000000003</v>
      </c>
      <c r="AB41" s="42">
        <f t="shared" si="92"/>
        <v>29.200000000000003</v>
      </c>
      <c r="AC41" s="41">
        <v>111.4</v>
      </c>
      <c r="AD41" s="42">
        <v>28.2</v>
      </c>
      <c r="AE41" s="42">
        <v>12.2</v>
      </c>
      <c r="AF41" s="42"/>
      <c r="AG41" s="42"/>
      <c r="AH41" s="41"/>
      <c r="AI41" s="41"/>
      <c r="AJ41" s="41"/>
    </row>
    <row r="42" spans="2:36" x14ac:dyDescent="0.25">
      <c r="B42" s="12"/>
      <c r="I42" s="41"/>
      <c r="J42" s="41"/>
      <c r="K42" s="41"/>
      <c r="L42" s="41"/>
      <c r="M42" s="41"/>
      <c r="N42" s="41"/>
      <c r="O42" s="42"/>
      <c r="P42" s="42"/>
      <c r="Q42" s="42"/>
      <c r="R42" s="42"/>
      <c r="S42" s="41"/>
      <c r="T42" s="42"/>
      <c r="U42" s="42"/>
      <c r="V42" s="42"/>
      <c r="W42" s="42"/>
      <c r="X42" s="41"/>
      <c r="Y42" s="42"/>
      <c r="Z42" s="42"/>
      <c r="AA42" s="42"/>
      <c r="AB42" s="42"/>
      <c r="AC42" s="41"/>
      <c r="AD42" s="42"/>
      <c r="AE42" s="42"/>
      <c r="AF42" s="42"/>
      <c r="AG42" s="42"/>
      <c r="AH42" s="41"/>
      <c r="AI42" s="41"/>
      <c r="AJ42" s="41"/>
    </row>
    <row r="43" spans="2:36" x14ac:dyDescent="0.25">
      <c r="B43" s="3" t="s">
        <v>182</v>
      </c>
      <c r="I43" s="41">
        <v>1845.2</v>
      </c>
      <c r="J43" s="41"/>
      <c r="K43" s="41"/>
      <c r="L43" s="41"/>
      <c r="M43" s="41"/>
      <c r="N43" s="41">
        <v>1395.7</v>
      </c>
      <c r="O43" s="42">
        <v>297.3</v>
      </c>
      <c r="P43" s="42">
        <v>447.8</v>
      </c>
      <c r="Q43" s="42">
        <v>465.8</v>
      </c>
      <c r="R43" s="42">
        <f t="shared" si="90"/>
        <v>387.7</v>
      </c>
      <c r="S43" s="41">
        <v>1598.6</v>
      </c>
      <c r="T43" s="42">
        <v>254.5</v>
      </c>
      <c r="U43" s="42">
        <v>425.8</v>
      </c>
      <c r="V43" s="42">
        <v>483</v>
      </c>
      <c r="W43" s="42">
        <f t="shared" si="91"/>
        <v>399.20000000000005</v>
      </c>
      <c r="X43" s="41">
        <v>1562.5</v>
      </c>
      <c r="Y43" s="42">
        <v>351.6</v>
      </c>
      <c r="Z43" s="42">
        <v>484.7</v>
      </c>
      <c r="AA43" s="42">
        <v>566</v>
      </c>
      <c r="AB43" s="42">
        <f t="shared" si="92"/>
        <v>589.99999999999989</v>
      </c>
      <c r="AC43" s="41">
        <v>1992.3</v>
      </c>
      <c r="AD43" s="42">
        <v>517.9</v>
      </c>
      <c r="AE43" s="42">
        <v>656.9</v>
      </c>
      <c r="AF43" s="42"/>
      <c r="AG43" s="42"/>
      <c r="AH43" s="41"/>
      <c r="AI43" s="41"/>
      <c r="AJ43" s="41"/>
    </row>
    <row r="44" spans="2:36" x14ac:dyDescent="0.25">
      <c r="B44" s="1" t="s">
        <v>183</v>
      </c>
      <c r="I44" s="41">
        <v>-77</v>
      </c>
      <c r="J44" s="41"/>
      <c r="K44" s="41"/>
      <c r="L44" s="41"/>
      <c r="M44" s="41"/>
      <c r="N44" s="41">
        <v>-55.9</v>
      </c>
      <c r="O44" s="42">
        <v>-17</v>
      </c>
      <c r="P44" s="42">
        <v>2.5</v>
      </c>
      <c r="Q44" s="42">
        <v>-13</v>
      </c>
      <c r="R44" s="42">
        <f t="shared" si="90"/>
        <v>-6.3999999999999986</v>
      </c>
      <c r="S44" s="41">
        <v>-33.9</v>
      </c>
      <c r="T44" s="42">
        <v>-18.8</v>
      </c>
      <c r="U44" s="42">
        <v>-19.5</v>
      </c>
      <c r="V44" s="42">
        <v>5.7</v>
      </c>
      <c r="W44" s="42">
        <f t="shared" si="91"/>
        <v>8.1000000000000014</v>
      </c>
      <c r="X44" s="41">
        <v>-24.5</v>
      </c>
      <c r="Y44" s="42">
        <v>-13.1</v>
      </c>
      <c r="Z44" s="42">
        <v>-14.4</v>
      </c>
      <c r="AA44" s="42">
        <v>-14.5</v>
      </c>
      <c r="AB44" s="42">
        <f t="shared" si="92"/>
        <v>-17.899999999999999</v>
      </c>
      <c r="AC44" s="41">
        <v>-59.9</v>
      </c>
      <c r="AD44" s="42">
        <v>-12.6</v>
      </c>
      <c r="AE44" s="42">
        <v>-12.6</v>
      </c>
      <c r="AF44" s="42"/>
      <c r="AG44" s="42"/>
      <c r="AH44" s="41"/>
      <c r="AI44" s="41"/>
      <c r="AJ44" s="41"/>
    </row>
    <row r="45" spans="2:36" x14ac:dyDescent="0.25">
      <c r="B45" s="1" t="s">
        <v>184</v>
      </c>
      <c r="I45" s="41">
        <v>190.7</v>
      </c>
      <c r="J45" s="41"/>
      <c r="K45" s="41"/>
      <c r="L45" s="41"/>
      <c r="M45" s="41"/>
      <c r="N45" s="41">
        <v>290.2</v>
      </c>
      <c r="O45" s="42">
        <v>51.7</v>
      </c>
      <c r="P45" s="42">
        <v>45.6</v>
      </c>
      <c r="Q45" s="42">
        <v>76.400000000000006</v>
      </c>
      <c r="R45" s="42">
        <f t="shared" si="90"/>
        <v>44.600000000000009</v>
      </c>
      <c r="S45" s="41">
        <v>218.3</v>
      </c>
      <c r="T45" s="42">
        <v>53</v>
      </c>
      <c r="U45" s="42">
        <v>56</v>
      </c>
      <c r="V45" s="42">
        <v>65.099999999999994</v>
      </c>
      <c r="W45" s="42">
        <f t="shared" si="91"/>
        <v>69.5</v>
      </c>
      <c r="X45" s="41">
        <v>243.6</v>
      </c>
      <c r="Y45" s="42">
        <v>74.2</v>
      </c>
      <c r="Z45" s="42">
        <v>77.8</v>
      </c>
      <c r="AA45" s="42">
        <v>74.3</v>
      </c>
      <c r="AB45" s="42">
        <f>AC45-AA45-Z45-Y45</f>
        <v>70.399999999999963</v>
      </c>
      <c r="AC45" s="41">
        <v>296.7</v>
      </c>
      <c r="AD45" s="42">
        <v>71.599999999999994</v>
      </c>
      <c r="AE45" s="42">
        <v>78.8</v>
      </c>
      <c r="AF45" s="42"/>
      <c r="AG45" s="42"/>
      <c r="AH45" s="41"/>
      <c r="AI45" s="41"/>
      <c r="AJ45" s="41"/>
    </row>
    <row r="46" spans="2:36" x14ac:dyDescent="0.25">
      <c r="B46" s="1"/>
      <c r="I46" s="41"/>
      <c r="J46" s="41"/>
      <c r="K46" s="41"/>
      <c r="L46" s="41"/>
      <c r="M46" s="41"/>
      <c r="N46" s="41"/>
      <c r="O46" s="42"/>
      <c r="P46" s="42"/>
      <c r="Q46" s="42"/>
      <c r="R46" s="42"/>
      <c r="S46" s="41"/>
      <c r="T46" s="247"/>
      <c r="U46" s="247"/>
      <c r="V46" s="42"/>
      <c r="W46" s="42"/>
      <c r="X46" s="41"/>
      <c r="Y46" s="42"/>
      <c r="Z46" s="42"/>
      <c r="AA46" s="42"/>
      <c r="AB46" s="42"/>
      <c r="AC46" s="41"/>
      <c r="AD46" s="42"/>
      <c r="AE46" s="42"/>
      <c r="AF46" s="42"/>
      <c r="AG46" s="42"/>
      <c r="AH46" s="41"/>
      <c r="AI46" s="41"/>
      <c r="AJ46" s="41"/>
    </row>
    <row r="47" spans="2:36" x14ac:dyDescent="0.25">
      <c r="B47" s="1" t="s">
        <v>48</v>
      </c>
      <c r="I47" s="41">
        <v>1731.5</v>
      </c>
      <c r="J47" s="41"/>
      <c r="K47" s="41"/>
      <c r="L47" s="41"/>
      <c r="M47" s="41"/>
      <c r="N47" s="41">
        <v>1161.4000000000001</v>
      </c>
      <c r="O47" s="42">
        <v>262.60000000000002</v>
      </c>
      <c r="P47" s="42">
        <v>399.7</v>
      </c>
      <c r="Q47" s="42">
        <v>402.4</v>
      </c>
      <c r="R47" s="42">
        <f t="shared" si="90"/>
        <v>349.50000000000011</v>
      </c>
      <c r="S47" s="41">
        <v>1414.2</v>
      </c>
      <c r="T47" s="42">
        <v>220.3</v>
      </c>
      <c r="U47" s="42">
        <v>389.3</v>
      </c>
      <c r="V47" s="42">
        <v>412.2</v>
      </c>
      <c r="W47" s="42">
        <f t="shared" si="91"/>
        <v>321.60000000000008</v>
      </c>
      <c r="X47" s="41">
        <v>1343.4</v>
      </c>
      <c r="Y47" s="42">
        <v>290.5</v>
      </c>
      <c r="Z47" s="42">
        <v>421.3</v>
      </c>
      <c r="AA47" s="42">
        <v>506.2</v>
      </c>
      <c r="AB47" s="42">
        <f t="shared" si="92"/>
        <v>537.5</v>
      </c>
      <c r="AC47" s="41">
        <v>1755.5</v>
      </c>
      <c r="AD47" s="42">
        <v>458.9</v>
      </c>
      <c r="AE47" s="42">
        <v>590.70000000000005</v>
      </c>
      <c r="AF47" s="42"/>
      <c r="AG47" s="42"/>
      <c r="AH47" s="41"/>
      <c r="AI47" s="41"/>
      <c r="AJ47" s="41"/>
    </row>
    <row r="48" spans="2:36" x14ac:dyDescent="0.25">
      <c r="B48" s="1" t="s">
        <v>49</v>
      </c>
      <c r="I48" s="41">
        <v>288.60000000000002</v>
      </c>
      <c r="J48" s="41"/>
      <c r="K48" s="41"/>
      <c r="L48" s="41"/>
      <c r="M48" s="41"/>
      <c r="N48" s="41">
        <v>176.6</v>
      </c>
      <c r="O48" s="42">
        <v>66.099999999999994</v>
      </c>
      <c r="P48" s="42">
        <v>86.1</v>
      </c>
      <c r="Q48" s="42">
        <v>73.8</v>
      </c>
      <c r="R48" s="42">
        <f t="shared" si="90"/>
        <v>44.199999999999989</v>
      </c>
      <c r="S48" s="41">
        <v>270.2</v>
      </c>
      <c r="T48" s="42">
        <v>45.6</v>
      </c>
      <c r="U48" s="42">
        <v>76.599999999999994</v>
      </c>
      <c r="V48" s="42">
        <v>60.2</v>
      </c>
      <c r="W48" s="42">
        <f t="shared" si="91"/>
        <v>52.100000000000016</v>
      </c>
      <c r="X48" s="41">
        <v>234.5</v>
      </c>
      <c r="Y48" s="42">
        <v>52.4</v>
      </c>
      <c r="Z48" s="42">
        <v>86.6</v>
      </c>
      <c r="AA48" s="42">
        <v>96.8</v>
      </c>
      <c r="AB48" s="42">
        <f>AC48-AA48-Z48-Y48</f>
        <v>126.69999999999999</v>
      </c>
      <c r="AC48" s="41">
        <v>362.5</v>
      </c>
      <c r="AD48" s="42">
        <v>42.3</v>
      </c>
      <c r="AE48" s="42">
        <v>95.7</v>
      </c>
      <c r="AF48" s="42"/>
      <c r="AG48" s="42"/>
      <c r="AH48" s="41"/>
      <c r="AI48" s="41"/>
      <c r="AJ48" s="41"/>
    </row>
    <row r="49" spans="1:36" x14ac:dyDescent="0.25">
      <c r="B49" s="1"/>
      <c r="I49" s="41"/>
      <c r="J49" s="41"/>
      <c r="K49" s="41"/>
      <c r="L49" s="41"/>
      <c r="M49" s="41"/>
      <c r="N49" s="41"/>
      <c r="O49" s="42"/>
      <c r="P49" s="42"/>
      <c r="Q49" s="42"/>
      <c r="R49" s="42"/>
      <c r="S49" s="41"/>
      <c r="T49" s="42"/>
      <c r="U49" s="42"/>
      <c r="V49" s="42"/>
      <c r="W49" s="42"/>
      <c r="X49" s="41"/>
      <c r="Y49" s="42"/>
      <c r="Z49" s="42"/>
      <c r="AA49" s="42"/>
      <c r="AB49" s="42"/>
      <c r="AC49" s="41"/>
      <c r="AD49" s="42"/>
      <c r="AE49" s="42"/>
      <c r="AF49" s="42"/>
      <c r="AG49" s="42"/>
      <c r="AH49" s="41"/>
      <c r="AI49" s="41"/>
      <c r="AJ49" s="41"/>
    </row>
    <row r="50" spans="1:36" x14ac:dyDescent="0.25">
      <c r="B50" s="2" t="s">
        <v>185</v>
      </c>
      <c r="I50" s="41">
        <v>1442.9</v>
      </c>
      <c r="J50" s="41"/>
      <c r="K50" s="41"/>
      <c r="L50" s="41"/>
      <c r="M50" s="41"/>
      <c r="N50" s="41">
        <v>984.8</v>
      </c>
      <c r="O50" s="42">
        <v>196.5</v>
      </c>
      <c r="P50" s="42">
        <v>313.60000000000002</v>
      </c>
      <c r="Q50" s="42">
        <v>328.6</v>
      </c>
      <c r="R50" s="42">
        <f t="shared" si="90"/>
        <v>305.29999999999995</v>
      </c>
      <c r="S50" s="41">
        <v>1144</v>
      </c>
      <c r="T50" s="42">
        <v>174.7</v>
      </c>
      <c r="U50" s="42">
        <v>312.7</v>
      </c>
      <c r="V50" s="42">
        <v>352</v>
      </c>
      <c r="W50" s="42">
        <f t="shared" si="91"/>
        <v>269.50000000000011</v>
      </c>
      <c r="X50" s="41">
        <v>1108.9000000000001</v>
      </c>
      <c r="Y50" s="42">
        <v>238.1</v>
      </c>
      <c r="Z50" s="42">
        <v>334.7</v>
      </c>
      <c r="AA50" s="42">
        <v>409.4</v>
      </c>
      <c r="AB50" s="42">
        <f t="shared" si="92"/>
        <v>410.80000000000007</v>
      </c>
      <c r="AC50" s="41">
        <v>1393</v>
      </c>
      <c r="AD50" s="42">
        <v>416.6</v>
      </c>
      <c r="AE50" s="42">
        <v>495</v>
      </c>
      <c r="AF50" s="42"/>
      <c r="AG50" s="42"/>
      <c r="AH50" s="41"/>
      <c r="AI50" s="41"/>
      <c r="AJ50" s="41"/>
    </row>
    <row r="51" spans="1:36" x14ac:dyDescent="0.25">
      <c r="B51" s="2" t="s">
        <v>186</v>
      </c>
      <c r="I51" s="41">
        <v>17.3</v>
      </c>
      <c r="J51" s="41"/>
      <c r="K51" s="41"/>
      <c r="L51" s="41"/>
      <c r="M51" s="41"/>
      <c r="N51" s="41">
        <v>17.399999999999999</v>
      </c>
      <c r="O51" s="42">
        <v>2.9</v>
      </c>
      <c r="P51" s="42">
        <v>2.8</v>
      </c>
      <c r="Q51" s="42">
        <v>4.0999999999999996</v>
      </c>
      <c r="R51" s="42">
        <f t="shared" si="90"/>
        <v>4.3000000000000007</v>
      </c>
      <c r="S51" s="41">
        <v>14.1</v>
      </c>
      <c r="T51" s="42">
        <v>2.8</v>
      </c>
      <c r="U51" s="42">
        <v>4.4000000000000004</v>
      </c>
      <c r="V51" s="42">
        <v>4.9000000000000004</v>
      </c>
      <c r="W51" s="42">
        <f t="shared" si="91"/>
        <v>5.0999999999999988</v>
      </c>
      <c r="X51" s="41">
        <v>17.2</v>
      </c>
      <c r="Y51" s="42">
        <v>4.7</v>
      </c>
      <c r="Z51" s="42">
        <v>5</v>
      </c>
      <c r="AA51" s="42">
        <v>5.4</v>
      </c>
      <c r="AB51" s="42">
        <f>AC51-AA51-Z51-Y51</f>
        <v>5.5999999999999988</v>
      </c>
      <c r="AC51" s="41">
        <v>20.7</v>
      </c>
      <c r="AD51" s="42">
        <v>4.5</v>
      </c>
      <c r="AE51" s="42">
        <v>4.0999999999999996</v>
      </c>
      <c r="AF51" s="42"/>
      <c r="AG51" s="42"/>
      <c r="AH51" s="41"/>
      <c r="AI51" s="41"/>
      <c r="AJ51" s="41"/>
    </row>
    <row r="52" spans="1:36" s="12" customFormat="1" x14ac:dyDescent="0.25">
      <c r="B52" s="4" t="s">
        <v>187</v>
      </c>
      <c r="I52" s="41">
        <v>1558.9</v>
      </c>
      <c r="J52" s="41"/>
      <c r="K52" s="41"/>
      <c r="L52" s="41"/>
      <c r="M52" s="41"/>
      <c r="N52" s="41">
        <v>-1205.0999999999999</v>
      </c>
      <c r="O52" s="42">
        <v>193.6</v>
      </c>
      <c r="P52" s="42">
        <v>310.8</v>
      </c>
      <c r="Q52" s="42">
        <v>324.5</v>
      </c>
      <c r="R52" s="42">
        <f t="shared" si="90"/>
        <v>301.00000000000011</v>
      </c>
      <c r="S52" s="41">
        <v>1129.9000000000001</v>
      </c>
      <c r="T52" s="42">
        <v>171.9</v>
      </c>
      <c r="U52" s="42">
        <v>308.3</v>
      </c>
      <c r="V52" s="42">
        <v>347.1</v>
      </c>
      <c r="W52" s="42">
        <f t="shared" si="91"/>
        <v>264.39999999999998</v>
      </c>
      <c r="X52" s="41">
        <v>1091.7</v>
      </c>
      <c r="Y52" s="42">
        <v>233.4</v>
      </c>
      <c r="Z52" s="42">
        <v>329.7</v>
      </c>
      <c r="AA52" s="42">
        <v>404</v>
      </c>
      <c r="AB52" s="42">
        <f t="shared" si="92"/>
        <v>405.19999999999993</v>
      </c>
      <c r="AC52" s="41">
        <v>1372.3</v>
      </c>
      <c r="AD52" s="46">
        <v>412.1</v>
      </c>
      <c r="AE52" s="46">
        <v>490.9</v>
      </c>
      <c r="AF52" s="46"/>
      <c r="AG52" s="46"/>
      <c r="AH52" s="45"/>
      <c r="AI52" s="45"/>
      <c r="AJ52" s="45"/>
    </row>
    <row r="53" spans="1:36" x14ac:dyDescent="0.25">
      <c r="B53" s="47"/>
      <c r="I53" s="41"/>
      <c r="J53" s="41"/>
      <c r="K53" s="41"/>
      <c r="L53" s="41"/>
      <c r="M53" s="41"/>
      <c r="N53" s="41"/>
      <c r="O53" s="42"/>
      <c r="P53" s="42"/>
      <c r="Q53" s="42"/>
      <c r="R53" s="42"/>
      <c r="S53" s="41"/>
      <c r="T53" s="42"/>
      <c r="U53" s="42"/>
      <c r="V53" s="42"/>
      <c r="W53" s="42"/>
      <c r="X53" s="41"/>
      <c r="Y53" s="42"/>
      <c r="Z53" s="42"/>
      <c r="AA53" s="42"/>
      <c r="AB53" s="42"/>
      <c r="AC53" s="41"/>
      <c r="AD53" s="42"/>
      <c r="AE53" s="42"/>
      <c r="AF53" s="42"/>
      <c r="AG53" s="42"/>
      <c r="AH53" s="41"/>
      <c r="AI53" s="41"/>
      <c r="AJ53" s="41"/>
    </row>
    <row r="54" spans="1:36" x14ac:dyDescent="0.25">
      <c r="B54" s="4" t="s">
        <v>188</v>
      </c>
      <c r="I54" s="41"/>
      <c r="J54" s="41"/>
      <c r="K54" s="41"/>
      <c r="L54" s="41"/>
      <c r="M54" s="41"/>
      <c r="N54" s="41"/>
      <c r="O54" s="42"/>
      <c r="P54" s="42"/>
      <c r="Q54" s="42"/>
      <c r="R54" s="42"/>
      <c r="S54" s="41"/>
      <c r="T54" s="42"/>
      <c r="U54" s="42"/>
      <c r="V54" s="42"/>
      <c r="W54" s="42"/>
      <c r="X54" s="41"/>
      <c r="Y54" s="42"/>
      <c r="Z54" s="42"/>
      <c r="AA54" s="42"/>
      <c r="AB54" s="42"/>
      <c r="AC54" s="41"/>
      <c r="AD54" s="42"/>
      <c r="AE54" s="42"/>
      <c r="AF54" s="42"/>
      <c r="AG54" s="42"/>
      <c r="AH54" s="41"/>
      <c r="AI54" s="41"/>
      <c r="AJ54" s="41"/>
    </row>
    <row r="55" spans="1:36" x14ac:dyDescent="0.25">
      <c r="B55" s="1" t="s">
        <v>52</v>
      </c>
      <c r="I55" s="49">
        <v>5.41</v>
      </c>
      <c r="J55" s="49"/>
      <c r="K55" s="49"/>
      <c r="L55" s="49"/>
      <c r="M55" s="49"/>
      <c r="N55" s="49">
        <v>-4.2</v>
      </c>
      <c r="O55" s="50">
        <v>0.68</v>
      </c>
      <c r="P55" s="50">
        <v>1.0900000000000001</v>
      </c>
      <c r="Q55" s="50">
        <v>1.1299999999999999</v>
      </c>
      <c r="R55" s="42">
        <f t="shared" si="90"/>
        <v>1.0500000000000003</v>
      </c>
      <c r="S55" s="49">
        <v>3.95</v>
      </c>
      <c r="T55" s="50">
        <v>0.6</v>
      </c>
      <c r="U55" s="50">
        <v>1.08</v>
      </c>
      <c r="V55" s="50">
        <v>1.22</v>
      </c>
      <c r="W55" s="42">
        <f t="shared" si="91"/>
        <v>0.93000000000000027</v>
      </c>
      <c r="X55" s="49">
        <v>3.83</v>
      </c>
      <c r="Y55" s="50">
        <v>0.82</v>
      </c>
      <c r="Z55" s="50">
        <v>1.1599999999999999</v>
      </c>
      <c r="AA55" s="50">
        <v>1.42</v>
      </c>
      <c r="AB55" s="42">
        <f t="shared" si="92"/>
        <v>1.4200000000000004</v>
      </c>
      <c r="AC55" s="49">
        <v>4.82</v>
      </c>
      <c r="AD55" s="42">
        <v>1.44</v>
      </c>
      <c r="AE55" s="42">
        <v>1.72</v>
      </c>
      <c r="AF55" s="42"/>
      <c r="AG55" s="42"/>
      <c r="AH55" s="41"/>
      <c r="AI55" s="41"/>
      <c r="AJ55" s="41"/>
    </row>
    <row r="56" spans="1:36" x14ac:dyDescent="0.25">
      <c r="B56" s="1" t="s">
        <v>53</v>
      </c>
      <c r="I56" s="49">
        <v>5.33</v>
      </c>
      <c r="J56" s="49"/>
      <c r="K56" s="49"/>
      <c r="L56" s="49"/>
      <c r="M56" s="49"/>
      <c r="N56" s="49">
        <v>-4.1500000000000004</v>
      </c>
      <c r="O56" s="50">
        <v>0.67</v>
      </c>
      <c r="P56" s="50">
        <v>1.08</v>
      </c>
      <c r="Q56" s="50">
        <v>1.1200000000000001</v>
      </c>
      <c r="R56" s="42">
        <f>S56-Q56-P56-O56</f>
        <v>1.04</v>
      </c>
      <c r="S56" s="49">
        <v>3.91</v>
      </c>
      <c r="T56" s="50">
        <v>0.6</v>
      </c>
      <c r="U56" s="50">
        <v>1.08</v>
      </c>
      <c r="V56" s="50">
        <v>1.21</v>
      </c>
      <c r="W56" s="42">
        <f t="shared" si="91"/>
        <v>0.92</v>
      </c>
      <c r="X56" s="49">
        <v>3.81</v>
      </c>
      <c r="Y56" s="50">
        <v>0.82</v>
      </c>
      <c r="Z56" s="50">
        <v>1.1499999999999999</v>
      </c>
      <c r="AA56" s="50">
        <v>1.41</v>
      </c>
      <c r="AB56" s="42">
        <f t="shared" si="92"/>
        <v>1.4100000000000001</v>
      </c>
      <c r="AC56" s="49">
        <v>4.79</v>
      </c>
      <c r="AD56" s="42">
        <v>1.43</v>
      </c>
      <c r="AE56" s="42">
        <v>1.71</v>
      </c>
      <c r="AF56" s="42"/>
      <c r="AG56" s="42"/>
      <c r="AH56" s="41"/>
      <c r="AI56" s="41"/>
      <c r="AJ56" s="41"/>
    </row>
    <row r="57" spans="1:36" x14ac:dyDescent="0.25">
      <c r="B57"/>
      <c r="I57" s="41"/>
      <c r="J57" s="41"/>
      <c r="K57" s="41"/>
      <c r="L57" s="41"/>
      <c r="M57" s="41"/>
      <c r="N57" s="41"/>
      <c r="O57" s="42"/>
      <c r="P57" s="42"/>
      <c r="Q57" s="42"/>
      <c r="R57" s="42"/>
      <c r="S57" s="41"/>
      <c r="T57" s="42"/>
      <c r="U57" s="42"/>
      <c r="V57" s="42"/>
      <c r="W57" s="42"/>
      <c r="X57" s="41"/>
      <c r="Y57" s="42"/>
      <c r="Z57" s="42"/>
      <c r="AA57" s="42"/>
      <c r="AB57" s="42"/>
      <c r="AC57" s="41"/>
      <c r="AD57" s="42"/>
      <c r="AE57" s="42"/>
      <c r="AF57" s="42"/>
      <c r="AG57" s="42"/>
      <c r="AH57" s="41"/>
      <c r="AI57" s="41"/>
      <c r="AJ57" s="41"/>
    </row>
    <row r="58" spans="1:36" x14ac:dyDescent="0.25">
      <c r="B58" s="4" t="s">
        <v>189</v>
      </c>
      <c r="I58" s="41"/>
      <c r="J58" s="41"/>
      <c r="K58" s="41"/>
      <c r="L58" s="41"/>
      <c r="M58" s="41"/>
      <c r="N58" s="41"/>
      <c r="O58" s="42"/>
      <c r="P58" s="42"/>
      <c r="Q58" s="42"/>
      <c r="R58" s="42"/>
      <c r="S58" s="41"/>
      <c r="T58" s="42"/>
      <c r="U58" s="42"/>
      <c r="V58" s="42"/>
      <c r="W58" s="42"/>
      <c r="X58" s="41"/>
      <c r="Y58" s="42"/>
      <c r="Z58" s="42"/>
      <c r="AA58" s="42"/>
      <c r="AB58" s="42"/>
      <c r="AC58" s="41"/>
      <c r="AD58" s="42"/>
      <c r="AE58" s="42"/>
      <c r="AF58" s="42"/>
      <c r="AG58" s="42"/>
      <c r="AH58" s="41"/>
      <c r="AI58" s="41"/>
      <c r="AJ58" s="41"/>
    </row>
    <row r="59" spans="1:36" x14ac:dyDescent="0.25">
      <c r="B59" s="1" t="s">
        <v>52</v>
      </c>
      <c r="I59" s="41">
        <v>288.10000000000002</v>
      </c>
      <c r="J59" s="41"/>
      <c r="K59" s="41"/>
      <c r="L59" s="41"/>
      <c r="M59" s="41"/>
      <c r="N59" s="41">
        <v>287</v>
      </c>
      <c r="O59" s="42">
        <v>286</v>
      </c>
      <c r="P59" s="42">
        <v>286</v>
      </c>
      <c r="Q59" s="42">
        <v>286.39999999999998</v>
      </c>
      <c r="R59" s="42">
        <f>S59</f>
        <v>286.3</v>
      </c>
      <c r="S59" s="41">
        <v>286.3</v>
      </c>
      <c r="T59" s="42">
        <v>286.2</v>
      </c>
      <c r="U59" s="42">
        <v>285.10000000000002</v>
      </c>
      <c r="V59" s="42">
        <v>284.89999999999998</v>
      </c>
      <c r="W59" s="42">
        <f>X59</f>
        <v>285.2</v>
      </c>
      <c r="X59" s="41">
        <v>285.2</v>
      </c>
      <c r="Y59" s="42">
        <v>284.60000000000002</v>
      </c>
      <c r="Z59" s="42">
        <v>284.89999999999998</v>
      </c>
      <c r="AA59" s="42">
        <v>285.10000000000002</v>
      </c>
      <c r="AB59" s="42">
        <f>AC59</f>
        <v>285</v>
      </c>
      <c r="AC59" s="41">
        <v>285</v>
      </c>
      <c r="AD59" s="42">
        <v>285.7</v>
      </c>
      <c r="AE59" s="42">
        <v>284.60000000000002</v>
      </c>
      <c r="AF59" s="42"/>
      <c r="AG59" s="42"/>
      <c r="AH59" s="41"/>
      <c r="AI59" s="41"/>
      <c r="AJ59" s="41"/>
    </row>
    <row r="60" spans="1:36" s="12" customFormat="1" x14ac:dyDescent="0.25">
      <c r="B60" s="1" t="s">
        <v>53</v>
      </c>
      <c r="I60" s="41">
        <v>292.5</v>
      </c>
      <c r="J60" s="41"/>
      <c r="K60" s="41"/>
      <c r="L60" s="41"/>
      <c r="M60" s="41"/>
      <c r="N60" s="41">
        <v>290.3</v>
      </c>
      <c r="O60" s="42">
        <v>288.8</v>
      </c>
      <c r="P60" s="42">
        <v>288.8</v>
      </c>
      <c r="Q60" s="42">
        <v>289.2</v>
      </c>
      <c r="R60" s="42">
        <f>S60</f>
        <v>289.10000000000002</v>
      </c>
      <c r="S60" s="41">
        <v>289.10000000000002</v>
      </c>
      <c r="T60" s="42">
        <v>288.10000000000002</v>
      </c>
      <c r="U60" s="42">
        <v>286.60000000000002</v>
      </c>
      <c r="V60" s="42">
        <v>286.3</v>
      </c>
      <c r="W60" s="42">
        <f>X60</f>
        <v>286.60000000000002</v>
      </c>
      <c r="X60" s="41">
        <v>286.60000000000002</v>
      </c>
      <c r="Y60" s="42">
        <v>285.89999999999998</v>
      </c>
      <c r="Z60" s="42">
        <v>286.3</v>
      </c>
      <c r="AA60" s="42">
        <v>286.89999999999998</v>
      </c>
      <c r="AB60" s="42">
        <f>AC60</f>
        <v>286.5</v>
      </c>
      <c r="AC60" s="41">
        <v>286.5</v>
      </c>
      <c r="AD60" s="46">
        <v>287.8</v>
      </c>
      <c r="AE60" s="46">
        <v>287</v>
      </c>
      <c r="AF60" s="46"/>
      <c r="AG60" s="46"/>
      <c r="AH60" s="45"/>
      <c r="AI60" s="45"/>
      <c r="AJ60" s="45"/>
    </row>
    <row r="61" spans="1:36" x14ac:dyDescent="0.25">
      <c r="I61" s="41"/>
      <c r="J61" s="41"/>
      <c r="K61" s="41"/>
      <c r="L61" s="41"/>
      <c r="M61" s="41"/>
      <c r="N61" s="41"/>
      <c r="O61" s="42"/>
      <c r="P61" s="42"/>
      <c r="Q61" s="42"/>
      <c r="R61" s="42"/>
      <c r="S61" s="41"/>
      <c r="T61" s="42"/>
      <c r="U61" s="42"/>
      <c r="V61" s="42"/>
      <c r="W61" s="42"/>
      <c r="X61" s="41"/>
      <c r="Y61" s="42"/>
      <c r="Z61" s="42"/>
      <c r="AA61" s="42"/>
      <c r="AB61" s="42"/>
      <c r="AC61" s="41"/>
      <c r="AD61" s="42"/>
      <c r="AE61" s="42"/>
      <c r="AF61" s="42"/>
      <c r="AG61" s="42"/>
      <c r="AH61" s="41"/>
      <c r="AI61" s="41"/>
      <c r="AJ61" s="41"/>
    </row>
    <row r="62" spans="1:36" x14ac:dyDescent="0.25">
      <c r="B62" s="30"/>
      <c r="I62" s="41"/>
      <c r="J62" s="41"/>
      <c r="K62" s="41"/>
      <c r="L62" s="41"/>
      <c r="M62" s="41"/>
      <c r="N62" s="41"/>
      <c r="O62" s="42"/>
      <c r="P62" s="42"/>
      <c r="Q62" s="42"/>
      <c r="R62" s="42"/>
      <c r="S62" s="41"/>
      <c r="T62" s="42"/>
      <c r="U62" s="42"/>
      <c r="V62" s="42"/>
      <c r="W62" s="42"/>
      <c r="X62" s="41"/>
      <c r="Y62" s="42"/>
      <c r="Z62" s="42"/>
      <c r="AA62" s="42"/>
      <c r="AB62" s="42"/>
      <c r="AC62" s="41"/>
      <c r="AD62" s="42"/>
      <c r="AE62" s="42"/>
      <c r="AF62" s="42"/>
      <c r="AG62" s="42"/>
      <c r="AH62" s="41"/>
      <c r="AI62" s="41"/>
      <c r="AJ62" s="41"/>
    </row>
    <row r="63" spans="1:36" x14ac:dyDescent="0.25">
      <c r="A63" s="253"/>
      <c r="B63" s="38" t="s">
        <v>55</v>
      </c>
      <c r="C63" s="39"/>
      <c r="D63" s="39"/>
      <c r="E63" s="39"/>
      <c r="F63" s="39"/>
      <c r="G63" s="39"/>
      <c r="H63" s="39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</row>
    <row r="64" spans="1:36" x14ac:dyDescent="0.25">
      <c r="B64" s="51" t="s">
        <v>56</v>
      </c>
      <c r="I64" s="41"/>
      <c r="J64" s="41"/>
      <c r="K64" s="41"/>
      <c r="L64" s="41"/>
      <c r="M64" s="41"/>
      <c r="N64" s="41"/>
      <c r="O64" s="42"/>
      <c r="P64" s="42"/>
      <c r="Q64" s="42"/>
      <c r="R64" s="42"/>
      <c r="S64" s="41"/>
      <c r="T64" s="42"/>
      <c r="U64" s="42"/>
      <c r="V64" s="42"/>
      <c r="W64" s="42"/>
      <c r="X64" s="41"/>
      <c r="Y64" s="42"/>
      <c r="Z64" s="42"/>
      <c r="AA64" s="42"/>
      <c r="AB64" s="42"/>
      <c r="AC64" s="41"/>
      <c r="AD64" s="42"/>
      <c r="AE64" s="42"/>
      <c r="AF64" s="42"/>
      <c r="AG64" s="42"/>
      <c r="AH64" s="41"/>
      <c r="AI64" s="41"/>
      <c r="AJ64" s="41"/>
    </row>
    <row r="65" spans="2:36" x14ac:dyDescent="0.25">
      <c r="B65" s="2" t="s">
        <v>192</v>
      </c>
      <c r="I65" s="41">
        <v>1576.2</v>
      </c>
      <c r="J65" s="41"/>
      <c r="K65" s="41"/>
      <c r="L65" s="41"/>
      <c r="M65" s="41"/>
      <c r="N65" s="41">
        <v>-1185.5</v>
      </c>
      <c r="O65" s="42"/>
      <c r="P65" s="42"/>
      <c r="Q65" s="42"/>
      <c r="R65" s="42"/>
      <c r="S65" s="41">
        <v>1144</v>
      </c>
      <c r="T65" s="42"/>
      <c r="U65" s="42"/>
      <c r="V65" s="42"/>
      <c r="W65" s="42"/>
      <c r="X65" s="41">
        <v>1108.9000000000001</v>
      </c>
      <c r="Y65" s="42"/>
      <c r="Z65" s="42"/>
      <c r="AA65" s="42"/>
      <c r="AB65" s="42"/>
      <c r="AC65" s="41">
        <v>1393</v>
      </c>
      <c r="AD65" s="42"/>
      <c r="AE65" s="42"/>
      <c r="AF65" s="42"/>
      <c r="AG65" s="42"/>
      <c r="AH65" s="41"/>
      <c r="AI65" s="41"/>
      <c r="AJ65" s="41"/>
    </row>
    <row r="66" spans="2:36" ht="30" x14ac:dyDescent="0.25">
      <c r="B66" s="2" t="s">
        <v>193</v>
      </c>
      <c r="I66" s="41">
        <v>133.30000000000001</v>
      </c>
      <c r="J66" s="41"/>
      <c r="K66" s="41"/>
      <c r="L66" s="41"/>
      <c r="M66" s="41"/>
      <c r="N66" s="41">
        <v>-2170.3000000000002</v>
      </c>
      <c r="O66" s="42"/>
      <c r="P66" s="42"/>
      <c r="Q66" s="42"/>
      <c r="R66" s="42"/>
      <c r="S66" s="41">
        <v>0</v>
      </c>
      <c r="T66" s="42"/>
      <c r="U66" s="42"/>
      <c r="V66" s="42"/>
      <c r="W66" s="42"/>
      <c r="X66" s="41">
        <v>0</v>
      </c>
      <c r="Y66" s="42"/>
      <c r="Z66" s="42"/>
      <c r="AA66" s="42"/>
      <c r="AB66" s="42"/>
      <c r="AC66" s="41">
        <v>0</v>
      </c>
      <c r="AD66" s="42"/>
      <c r="AE66" s="42"/>
      <c r="AF66" s="42"/>
      <c r="AG66" s="42"/>
      <c r="AH66" s="41"/>
      <c r="AI66" s="41"/>
      <c r="AJ66" s="41"/>
    </row>
    <row r="67" spans="2:36" x14ac:dyDescent="0.25">
      <c r="B67" s="2" t="s">
        <v>194</v>
      </c>
      <c r="I67" s="41">
        <v>1442.9</v>
      </c>
      <c r="J67" s="41"/>
      <c r="K67" s="41"/>
      <c r="L67" s="41"/>
      <c r="M67" s="41"/>
      <c r="N67" s="41">
        <v>984.8</v>
      </c>
      <c r="O67" s="42"/>
      <c r="P67" s="42"/>
      <c r="Q67" s="42"/>
      <c r="R67" s="42"/>
      <c r="S67" s="41">
        <v>1144</v>
      </c>
      <c r="T67" s="42"/>
      <c r="U67" s="42"/>
      <c r="V67" s="42"/>
      <c r="W67" s="42"/>
      <c r="X67" s="41">
        <v>1108.9000000000001</v>
      </c>
      <c r="Y67" s="42"/>
      <c r="Z67" s="42"/>
      <c r="AA67" s="42"/>
      <c r="AB67" s="42"/>
      <c r="AC67" s="41">
        <v>1393</v>
      </c>
      <c r="AD67" s="42"/>
      <c r="AE67" s="42"/>
      <c r="AF67" s="42"/>
      <c r="AG67" s="42"/>
      <c r="AH67" s="41"/>
      <c r="AI67" s="41"/>
      <c r="AJ67" s="41"/>
    </row>
    <row r="68" spans="2:36" ht="18" customHeight="1" x14ac:dyDescent="0.25">
      <c r="B68" s="4" t="s">
        <v>195</v>
      </c>
      <c r="I68" s="41"/>
      <c r="J68" s="41"/>
      <c r="K68" s="41"/>
      <c r="L68" s="41"/>
      <c r="M68" s="41"/>
      <c r="N68" s="41"/>
      <c r="O68" s="42"/>
      <c r="P68" s="42"/>
      <c r="Q68" s="42"/>
      <c r="R68" s="42"/>
      <c r="S68" s="41"/>
      <c r="T68" s="42"/>
      <c r="U68" s="42"/>
      <c r="V68" s="42"/>
      <c r="W68" s="42"/>
      <c r="X68" s="41"/>
      <c r="Y68" s="42"/>
      <c r="Z68" s="42"/>
      <c r="AA68" s="42"/>
      <c r="AB68" s="42"/>
      <c r="AC68" s="41"/>
      <c r="AD68" s="42"/>
      <c r="AE68" s="42"/>
      <c r="AF68" s="42"/>
      <c r="AG68" s="42"/>
      <c r="AH68" s="41"/>
      <c r="AI68" s="41"/>
      <c r="AJ68" s="41"/>
    </row>
    <row r="69" spans="2:36" s="12" customFormat="1" x14ac:dyDescent="0.25">
      <c r="B69" s="1" t="s">
        <v>57</v>
      </c>
      <c r="I69" s="41">
        <v>569.1</v>
      </c>
      <c r="J69" s="41"/>
      <c r="K69" s="41"/>
      <c r="L69" s="41"/>
      <c r="M69" s="41"/>
      <c r="N69" s="41">
        <v>594.29999999999995</v>
      </c>
      <c r="O69" s="42"/>
      <c r="P69" s="42"/>
      <c r="Q69" s="42"/>
      <c r="R69" s="42"/>
      <c r="S69" s="41">
        <v>604.4</v>
      </c>
      <c r="T69" s="42"/>
      <c r="U69" s="42"/>
      <c r="V69" s="42"/>
      <c r="W69" s="42"/>
      <c r="X69" s="41">
        <v>618.5</v>
      </c>
      <c r="Y69" s="42"/>
      <c r="Z69" s="42"/>
      <c r="AA69" s="42"/>
      <c r="AB69" s="42"/>
      <c r="AC69" s="41">
        <v>616.70000000000005</v>
      </c>
      <c r="AD69" s="42"/>
      <c r="AE69" s="42"/>
      <c r="AF69" s="42"/>
      <c r="AG69" s="42"/>
      <c r="AH69" s="41"/>
      <c r="AI69" s="41"/>
      <c r="AJ69" s="41"/>
    </row>
    <row r="70" spans="2:36" s="12" customFormat="1" x14ac:dyDescent="0.25">
      <c r="B70" s="1" t="s">
        <v>196</v>
      </c>
      <c r="I70" s="41">
        <v>206.2</v>
      </c>
      <c r="J70" s="41"/>
      <c r="K70" s="41"/>
      <c r="L70" s="41"/>
      <c r="M70" s="41"/>
      <c r="N70" s="41">
        <v>218.4</v>
      </c>
      <c r="O70" s="42"/>
      <c r="P70" s="42"/>
      <c r="Q70" s="42"/>
      <c r="R70" s="42"/>
      <c r="S70" s="41">
        <v>238.7</v>
      </c>
      <c r="T70" s="42"/>
      <c r="U70" s="42"/>
      <c r="V70" s="42"/>
      <c r="W70" s="42"/>
      <c r="X70" s="41">
        <v>320.2</v>
      </c>
      <c r="Y70" s="42"/>
      <c r="Z70" s="42"/>
      <c r="AA70" s="42"/>
      <c r="AB70" s="42"/>
      <c r="AC70" s="41">
        <v>306.89999999999998</v>
      </c>
      <c r="AD70" s="46"/>
      <c r="AE70" s="46"/>
      <c r="AF70" s="46"/>
      <c r="AG70" s="46"/>
      <c r="AH70" s="45"/>
      <c r="AI70" s="45"/>
      <c r="AJ70" s="45"/>
    </row>
    <row r="71" spans="2:36" s="12" customFormat="1" x14ac:dyDescent="0.25">
      <c r="B71" s="1" t="s">
        <v>197</v>
      </c>
      <c r="I71" s="41">
        <v>-22.1</v>
      </c>
      <c r="J71" s="41"/>
      <c r="K71" s="41"/>
      <c r="L71" s="41"/>
      <c r="M71" s="41"/>
      <c r="N71" s="41">
        <v>-45.8</v>
      </c>
      <c r="O71" s="42"/>
      <c r="P71" s="42"/>
      <c r="Q71" s="42"/>
      <c r="R71" s="42"/>
      <c r="S71" s="41">
        <v>-1.1000000000000001</v>
      </c>
      <c r="T71" s="42"/>
      <c r="U71" s="42"/>
      <c r="V71" s="42"/>
      <c r="W71" s="42"/>
      <c r="X71" s="41">
        <v>-142.6</v>
      </c>
      <c r="Y71" s="42"/>
      <c r="Z71" s="42"/>
      <c r="AA71" s="42"/>
      <c r="AB71" s="42"/>
      <c r="AC71" s="41">
        <v>-55.7</v>
      </c>
      <c r="AD71" s="46"/>
      <c r="AE71" s="46"/>
      <c r="AF71" s="46"/>
      <c r="AG71" s="46"/>
      <c r="AH71" s="45"/>
      <c r="AI71" s="45"/>
      <c r="AJ71" s="45"/>
    </row>
    <row r="72" spans="2:36" x14ac:dyDescent="0.25">
      <c r="B72" s="2" t="s">
        <v>198</v>
      </c>
      <c r="I72" s="41">
        <v>84</v>
      </c>
      <c r="J72" s="41"/>
      <c r="K72" s="41"/>
      <c r="L72" s="41"/>
      <c r="M72" s="41"/>
      <c r="N72" s="41">
        <v>82.1</v>
      </c>
      <c r="O72" s="42"/>
      <c r="P72" s="42"/>
      <c r="Q72" s="42"/>
      <c r="R72" s="42"/>
      <c r="S72" s="41">
        <v>89.5</v>
      </c>
      <c r="T72" s="42"/>
      <c r="U72" s="42"/>
      <c r="V72" s="42"/>
      <c r="W72" s="42"/>
      <c r="X72" s="41">
        <v>87.8</v>
      </c>
      <c r="Y72" s="42"/>
      <c r="Z72" s="42"/>
      <c r="AA72" s="42"/>
      <c r="AB72" s="42"/>
      <c r="AC72" s="41">
        <v>95.1</v>
      </c>
      <c r="AD72" s="42"/>
      <c r="AE72" s="42"/>
      <c r="AF72" s="42"/>
      <c r="AG72" s="42"/>
      <c r="AH72" s="41"/>
      <c r="AI72" s="41"/>
      <c r="AJ72" s="41"/>
    </row>
    <row r="73" spans="2:36" x14ac:dyDescent="0.25">
      <c r="B73" s="2" t="s">
        <v>199</v>
      </c>
      <c r="I73" s="41">
        <v>-186</v>
      </c>
      <c r="J73" s="41"/>
      <c r="K73" s="41"/>
      <c r="L73" s="41"/>
      <c r="M73" s="41"/>
      <c r="N73" s="41">
        <v>-70.7</v>
      </c>
      <c r="O73" s="42"/>
      <c r="P73" s="42"/>
      <c r="Q73" s="42"/>
      <c r="R73" s="42"/>
      <c r="S73" s="41">
        <v>-60.2</v>
      </c>
      <c r="T73" s="42"/>
      <c r="U73" s="42"/>
      <c r="V73" s="42"/>
      <c r="W73" s="42"/>
      <c r="X73" s="41">
        <v>-64.3</v>
      </c>
      <c r="Y73" s="42"/>
      <c r="Z73" s="42"/>
      <c r="AA73" s="42"/>
      <c r="AB73" s="42"/>
      <c r="AC73" s="41">
        <v>-109.3</v>
      </c>
      <c r="AD73" s="42"/>
      <c r="AE73" s="42"/>
      <c r="AF73" s="42"/>
      <c r="AG73" s="42"/>
      <c r="AH73" s="41"/>
      <c r="AI73" s="41"/>
      <c r="AJ73" s="41"/>
    </row>
    <row r="74" spans="2:36" x14ac:dyDescent="0.25">
      <c r="B74" s="2" t="s">
        <v>200</v>
      </c>
      <c r="I74" s="41">
        <v>22.6</v>
      </c>
      <c r="J74" s="41"/>
      <c r="K74" s="41"/>
      <c r="L74" s="41"/>
      <c r="M74" s="41"/>
      <c r="N74" s="41">
        <v>42</v>
      </c>
      <c r="O74" s="42"/>
      <c r="P74" s="42"/>
      <c r="Q74" s="42"/>
      <c r="R74" s="42"/>
      <c r="S74" s="41">
        <v>42.4</v>
      </c>
      <c r="T74" s="42"/>
      <c r="U74" s="42"/>
      <c r="V74" s="42"/>
      <c r="W74" s="42"/>
      <c r="X74" s="41">
        <v>45.5</v>
      </c>
      <c r="Y74" s="42"/>
      <c r="Z74" s="42"/>
      <c r="AA74" s="42"/>
      <c r="AB74" s="42"/>
      <c r="AC74" s="41">
        <v>3.1</v>
      </c>
      <c r="AD74" s="42"/>
      <c r="AE74" s="42"/>
      <c r="AF74" s="42"/>
      <c r="AG74" s="42"/>
      <c r="AH74" s="41"/>
      <c r="AI74" s="41"/>
      <c r="AJ74" s="41"/>
    </row>
    <row r="75" spans="2:36" x14ac:dyDescent="0.25">
      <c r="B75" s="2" t="s">
        <v>201</v>
      </c>
      <c r="I75" s="41">
        <v>29.9</v>
      </c>
      <c r="J75" s="41"/>
      <c r="K75" s="41"/>
      <c r="L75" s="41"/>
      <c r="M75" s="41"/>
      <c r="N75" s="41">
        <v>7.8</v>
      </c>
      <c r="O75" s="42"/>
      <c r="P75" s="42"/>
      <c r="Q75" s="42"/>
      <c r="R75" s="42"/>
      <c r="S75" s="41">
        <v>-41.7</v>
      </c>
      <c r="T75" s="42"/>
      <c r="U75" s="42"/>
      <c r="V75" s="42"/>
      <c r="W75" s="42"/>
      <c r="X75" s="41">
        <v>66.2</v>
      </c>
      <c r="Y75" s="42"/>
      <c r="Z75" s="42"/>
      <c r="AA75" s="42"/>
      <c r="AB75" s="42"/>
      <c r="AC75" s="41">
        <v>-32.6</v>
      </c>
      <c r="AD75" s="42"/>
      <c r="AE75" s="42"/>
      <c r="AF75" s="42"/>
      <c r="AG75" s="42"/>
      <c r="AH75" s="41"/>
      <c r="AI75" s="41"/>
      <c r="AJ75" s="41"/>
    </row>
    <row r="76" spans="2:36" x14ac:dyDescent="0.25">
      <c r="B76" s="1" t="s">
        <v>202</v>
      </c>
      <c r="I76" s="41">
        <v>0</v>
      </c>
      <c r="J76" s="41"/>
      <c r="K76" s="41"/>
      <c r="L76" s="41"/>
      <c r="M76" s="41"/>
      <c r="N76" s="41">
        <v>77.099999999999994</v>
      </c>
      <c r="O76" s="42"/>
      <c r="P76" s="42"/>
      <c r="Q76" s="42"/>
      <c r="R76" s="42"/>
      <c r="S76" s="41">
        <v>29.4</v>
      </c>
      <c r="T76" s="42"/>
      <c r="U76" s="42"/>
      <c r="V76" s="42"/>
      <c r="W76" s="42"/>
      <c r="X76" s="41">
        <v>0</v>
      </c>
      <c r="Y76" s="42"/>
      <c r="Z76" s="42"/>
      <c r="AA76" s="42"/>
      <c r="AB76" s="42"/>
      <c r="AC76" s="41">
        <v>0</v>
      </c>
      <c r="AD76" s="42"/>
      <c r="AE76" s="42"/>
      <c r="AF76" s="42"/>
      <c r="AG76" s="42"/>
      <c r="AH76" s="41"/>
      <c r="AI76" s="41"/>
      <c r="AJ76" s="41"/>
    </row>
    <row r="77" spans="2:36" x14ac:dyDescent="0.25">
      <c r="B77" s="1" t="s">
        <v>203</v>
      </c>
      <c r="I77" s="41">
        <v>17.600000000000001</v>
      </c>
      <c r="J77" s="41"/>
      <c r="K77" s="41"/>
      <c r="L77" s="41"/>
      <c r="M77" s="41"/>
      <c r="N77" s="41">
        <v>61</v>
      </c>
      <c r="O77" s="42"/>
      <c r="P77" s="42"/>
      <c r="Q77" s="42"/>
      <c r="R77" s="42"/>
      <c r="S77" s="41">
        <v>15.9</v>
      </c>
      <c r="T77" s="42"/>
      <c r="U77" s="42"/>
      <c r="V77" s="42"/>
      <c r="W77" s="42"/>
      <c r="X77" s="41">
        <v>24.9</v>
      </c>
      <c r="Y77" s="42"/>
      <c r="Z77" s="42"/>
      <c r="AA77" s="42"/>
      <c r="AB77" s="42"/>
      <c r="AC77" s="41">
        <v>31.9</v>
      </c>
      <c r="AD77" s="42"/>
      <c r="AE77" s="42"/>
      <c r="AF77" s="42"/>
      <c r="AG77" s="42"/>
      <c r="AH77" s="41"/>
      <c r="AI77" s="41"/>
      <c r="AJ77" s="41"/>
    </row>
    <row r="78" spans="2:36" x14ac:dyDescent="0.25">
      <c r="B78" s="4" t="s">
        <v>204</v>
      </c>
      <c r="I78" s="41"/>
      <c r="J78" s="41"/>
      <c r="K78" s="41"/>
      <c r="L78" s="41"/>
      <c r="M78" s="41"/>
      <c r="N78" s="41"/>
      <c r="O78" s="42"/>
      <c r="P78" s="42"/>
      <c r="Q78" s="42"/>
      <c r="R78" s="42"/>
      <c r="S78" s="41"/>
      <c r="T78" s="42"/>
      <c r="U78" s="42"/>
      <c r="V78" s="42"/>
      <c r="W78" s="42"/>
      <c r="X78" s="41"/>
      <c r="Y78" s="42"/>
      <c r="Z78" s="42"/>
      <c r="AA78" s="42"/>
      <c r="AB78" s="42"/>
      <c r="AC78" s="41"/>
      <c r="AD78" s="42"/>
      <c r="AE78" s="42"/>
      <c r="AF78" s="42"/>
      <c r="AG78" s="42"/>
      <c r="AH78" s="41"/>
      <c r="AI78" s="41"/>
      <c r="AJ78" s="41"/>
    </row>
    <row r="79" spans="2:36" x14ac:dyDescent="0.25">
      <c r="B79" s="1" t="s">
        <v>205</v>
      </c>
      <c r="I79" s="41">
        <v>-173.1</v>
      </c>
      <c r="J79" s="41"/>
      <c r="K79" s="41"/>
      <c r="L79" s="41"/>
      <c r="M79" s="41"/>
      <c r="N79" s="41">
        <v>155.6</v>
      </c>
      <c r="O79" s="42"/>
      <c r="P79" s="42"/>
      <c r="Q79" s="42"/>
      <c r="R79" s="42"/>
      <c r="S79" s="41">
        <v>-178.2</v>
      </c>
      <c r="T79" s="42"/>
      <c r="U79" s="42"/>
      <c r="V79" s="42"/>
      <c r="W79" s="42"/>
      <c r="X79" s="41">
        <v>-319.60000000000002</v>
      </c>
      <c r="Y79" s="42"/>
      <c r="Z79" s="42"/>
      <c r="AA79" s="42"/>
      <c r="AB79" s="42"/>
      <c r="AC79" s="41">
        <v>-84.3</v>
      </c>
      <c r="AD79" s="42"/>
      <c r="AE79" s="42"/>
      <c r="AF79" s="42"/>
      <c r="AG79" s="42"/>
      <c r="AH79" s="41"/>
      <c r="AI79" s="41"/>
      <c r="AJ79" s="41"/>
    </row>
    <row r="80" spans="2:36" x14ac:dyDescent="0.25">
      <c r="B80" s="1" t="s">
        <v>206</v>
      </c>
      <c r="I80" s="41">
        <v>22.3</v>
      </c>
      <c r="J80" s="41"/>
      <c r="K80" s="41"/>
      <c r="L80" s="41"/>
      <c r="M80" s="41"/>
      <c r="N80" s="41">
        <v>-179.5</v>
      </c>
      <c r="O80" s="42"/>
      <c r="P80" s="42"/>
      <c r="Q80" s="42"/>
      <c r="R80" s="42"/>
      <c r="S80" s="41">
        <v>-73</v>
      </c>
      <c r="T80" s="42"/>
      <c r="U80" s="42"/>
      <c r="V80" s="42"/>
      <c r="W80" s="42"/>
      <c r="X80" s="41">
        <v>-402.9</v>
      </c>
      <c r="Y80" s="42"/>
      <c r="Z80" s="42"/>
      <c r="AA80" s="42"/>
      <c r="AB80" s="42"/>
      <c r="AC80" s="41">
        <v>320.3</v>
      </c>
      <c r="AD80" s="42"/>
      <c r="AE80" s="42"/>
      <c r="AF80" s="42"/>
      <c r="AG80" s="42"/>
      <c r="AH80" s="41"/>
      <c r="AI80" s="41"/>
      <c r="AJ80" s="41"/>
    </row>
    <row r="81" spans="2:36" x14ac:dyDescent="0.25">
      <c r="B81" s="1" t="s">
        <v>207</v>
      </c>
      <c r="I81" s="41">
        <v>-70.400000000000006</v>
      </c>
      <c r="J81" s="41"/>
      <c r="K81" s="41"/>
      <c r="L81" s="41"/>
      <c r="M81" s="41"/>
      <c r="N81" s="41">
        <v>42.3</v>
      </c>
      <c r="O81" s="42"/>
      <c r="P81" s="42"/>
      <c r="Q81" s="42"/>
      <c r="R81" s="42"/>
      <c r="S81" s="41">
        <v>-92.9</v>
      </c>
      <c r="T81" s="42"/>
      <c r="U81" s="42"/>
      <c r="V81" s="42"/>
      <c r="W81" s="42"/>
      <c r="X81" s="41">
        <v>-278.2</v>
      </c>
      <c r="Y81" s="42"/>
      <c r="Z81" s="42"/>
      <c r="AA81" s="42"/>
      <c r="AB81" s="42"/>
      <c r="AC81" s="41">
        <v>72.2</v>
      </c>
      <c r="AD81" s="42"/>
      <c r="AE81" s="42"/>
      <c r="AF81" s="42"/>
      <c r="AG81" s="42"/>
      <c r="AH81" s="41"/>
      <c r="AI81" s="41"/>
      <c r="AJ81" s="41"/>
    </row>
    <row r="82" spans="2:36" x14ac:dyDescent="0.25">
      <c r="B82" s="1" t="s">
        <v>58</v>
      </c>
      <c r="I82" s="41">
        <v>22.9</v>
      </c>
      <c r="J82" s="41"/>
      <c r="K82" s="41"/>
      <c r="L82" s="41"/>
      <c r="M82" s="41"/>
      <c r="N82" s="41">
        <v>55.9</v>
      </c>
      <c r="O82" s="42"/>
      <c r="P82" s="42"/>
      <c r="Q82" s="42"/>
      <c r="R82" s="42"/>
      <c r="S82" s="41">
        <v>200.4</v>
      </c>
      <c r="T82" s="42"/>
      <c r="U82" s="42"/>
      <c r="V82" s="42"/>
      <c r="W82" s="42"/>
      <c r="X82" s="41">
        <v>394.7</v>
      </c>
      <c r="Y82" s="42"/>
      <c r="Z82" s="42"/>
      <c r="AA82" s="42"/>
      <c r="AB82" s="42"/>
      <c r="AC82" s="41">
        <v>-232.3</v>
      </c>
      <c r="AD82" s="42"/>
      <c r="AE82" s="42"/>
      <c r="AF82" s="42"/>
      <c r="AG82" s="42"/>
      <c r="AH82" s="41"/>
      <c r="AI82" s="41"/>
      <c r="AJ82" s="41"/>
    </row>
    <row r="83" spans="2:36" x14ac:dyDescent="0.25">
      <c r="B83" s="1" t="s">
        <v>208</v>
      </c>
      <c r="I83" s="41">
        <v>80.8</v>
      </c>
      <c r="J83" s="41"/>
      <c r="K83" s="41"/>
      <c r="L83" s="41"/>
      <c r="M83" s="41"/>
      <c r="N83" s="41">
        <v>-283.5</v>
      </c>
      <c r="O83" s="42"/>
      <c r="P83" s="42"/>
      <c r="Q83" s="42"/>
      <c r="R83" s="42"/>
      <c r="S83" s="41">
        <v>144.30000000000001</v>
      </c>
      <c r="T83" s="42"/>
      <c r="U83" s="42"/>
      <c r="V83" s="42"/>
      <c r="W83" s="42"/>
      <c r="X83" s="41">
        <v>329.3</v>
      </c>
      <c r="Y83" s="42"/>
      <c r="Z83" s="42"/>
      <c r="AA83" s="42"/>
      <c r="AB83" s="42"/>
      <c r="AC83" s="41">
        <v>86.8</v>
      </c>
      <c r="AD83" s="42"/>
      <c r="AE83" s="42"/>
      <c r="AF83" s="42"/>
      <c r="AG83" s="42"/>
      <c r="AH83" s="41"/>
      <c r="AI83" s="41"/>
      <c r="AJ83" s="41"/>
    </row>
    <row r="84" spans="2:36" x14ac:dyDescent="0.25">
      <c r="B84" s="1" t="s">
        <v>230</v>
      </c>
      <c r="I84" s="41">
        <v>374</v>
      </c>
      <c r="J84" s="41"/>
      <c r="K84" s="41"/>
      <c r="L84" s="41"/>
      <c r="M84" s="41"/>
      <c r="N84" s="41">
        <v>118.4</v>
      </c>
      <c r="O84" s="42"/>
      <c r="P84" s="42"/>
      <c r="Q84" s="42"/>
      <c r="R84" s="42"/>
      <c r="S84" s="41">
        <v>0</v>
      </c>
      <c r="T84" s="42"/>
      <c r="U84" s="42"/>
      <c r="V84" s="42"/>
      <c r="W84" s="42"/>
      <c r="X84" s="41">
        <v>0</v>
      </c>
      <c r="Y84" s="42"/>
      <c r="Z84" s="42"/>
      <c r="AA84" s="42"/>
      <c r="AB84" s="42"/>
      <c r="AC84" s="41">
        <v>0</v>
      </c>
      <c r="AD84" s="42"/>
      <c r="AE84" s="42"/>
      <c r="AF84" s="42"/>
      <c r="AG84" s="42"/>
      <c r="AH84" s="41"/>
      <c r="AI84" s="41"/>
      <c r="AJ84" s="41"/>
    </row>
    <row r="85" spans="2:36" x14ac:dyDescent="0.25">
      <c r="B85" s="2" t="s">
        <v>209</v>
      </c>
      <c r="I85" s="41">
        <v>2420.6999999999998</v>
      </c>
      <c r="J85" s="41"/>
      <c r="K85" s="41"/>
      <c r="L85" s="41"/>
      <c r="M85" s="41"/>
      <c r="N85" s="41">
        <v>1860.2</v>
      </c>
      <c r="O85" s="42"/>
      <c r="P85" s="42"/>
      <c r="Q85" s="42"/>
      <c r="R85" s="42"/>
      <c r="S85" s="41">
        <v>2061.9</v>
      </c>
      <c r="T85" s="42"/>
      <c r="U85" s="42"/>
      <c r="V85" s="42"/>
      <c r="W85" s="42"/>
      <c r="X85" s="41">
        <v>1788.4</v>
      </c>
      <c r="Y85" s="42"/>
      <c r="Z85" s="42"/>
      <c r="AA85" s="42"/>
      <c r="AB85" s="42"/>
      <c r="AC85" s="41">
        <v>2411.8000000000002</v>
      </c>
      <c r="AD85" s="42"/>
      <c r="AE85" s="42"/>
      <c r="AF85" s="42"/>
      <c r="AG85" s="42"/>
      <c r="AH85" s="41"/>
      <c r="AI85" s="41"/>
      <c r="AJ85" s="41"/>
    </row>
    <row r="86" spans="2:36" x14ac:dyDescent="0.25">
      <c r="I86" s="41"/>
      <c r="J86" s="41"/>
      <c r="K86" s="41"/>
      <c r="L86" s="41"/>
      <c r="M86" s="41"/>
      <c r="N86" s="41"/>
      <c r="O86" s="42"/>
      <c r="P86" s="42"/>
      <c r="Q86" s="42"/>
      <c r="R86" s="42"/>
      <c r="S86" s="41"/>
      <c r="T86" s="42"/>
      <c r="U86" s="42"/>
      <c r="V86" s="42"/>
      <c r="W86" s="42"/>
      <c r="X86" s="41"/>
      <c r="Y86" s="42"/>
      <c r="Z86" s="42"/>
      <c r="AA86" s="42"/>
      <c r="AB86" s="42"/>
      <c r="AC86" s="41"/>
      <c r="AD86" s="42"/>
      <c r="AE86" s="42"/>
      <c r="AF86" s="42"/>
      <c r="AG86" s="42"/>
      <c r="AH86" s="41"/>
      <c r="AI86" s="41"/>
      <c r="AJ86" s="41"/>
    </row>
    <row r="87" spans="2:36" x14ac:dyDescent="0.25">
      <c r="B87" s="51" t="s">
        <v>59</v>
      </c>
      <c r="I87" s="41"/>
      <c r="J87" s="41"/>
      <c r="K87" s="41"/>
      <c r="L87" s="41"/>
      <c r="M87" s="41"/>
      <c r="N87" s="41"/>
      <c r="O87" s="42"/>
      <c r="P87" s="42"/>
      <c r="Q87" s="42"/>
      <c r="R87" s="42"/>
      <c r="S87" s="41"/>
      <c r="T87" s="42"/>
      <c r="U87" s="42"/>
      <c r="V87" s="42"/>
      <c r="W87" s="42"/>
      <c r="X87" s="41"/>
      <c r="Y87" s="42"/>
      <c r="Z87" s="42"/>
      <c r="AA87" s="42"/>
      <c r="AB87" s="42"/>
      <c r="AC87" s="41"/>
      <c r="AD87" s="42"/>
      <c r="AE87" s="42"/>
      <c r="AF87" s="42"/>
      <c r="AG87" s="42"/>
      <c r="AH87" s="41"/>
      <c r="AI87" s="41"/>
      <c r="AJ87" s="41"/>
    </row>
    <row r="88" spans="2:36" x14ac:dyDescent="0.25">
      <c r="B88" s="1" t="s">
        <v>211</v>
      </c>
      <c r="I88" s="41">
        <v>-731.3</v>
      </c>
      <c r="J88" s="41"/>
      <c r="K88" s="41"/>
      <c r="L88" s="41"/>
      <c r="M88" s="41"/>
      <c r="N88" s="41">
        <v>-489</v>
      </c>
      <c r="O88" s="42"/>
      <c r="P88" s="42"/>
      <c r="Q88" s="42"/>
      <c r="R88" s="42"/>
      <c r="S88" s="41">
        <v>-643</v>
      </c>
      <c r="T88" s="42"/>
      <c r="U88" s="42"/>
      <c r="V88" s="42"/>
      <c r="W88" s="42"/>
      <c r="X88" s="41">
        <v>-712.8</v>
      </c>
      <c r="Y88" s="42"/>
      <c r="Z88" s="42"/>
      <c r="AA88" s="42"/>
      <c r="AB88" s="42"/>
      <c r="AC88" s="41">
        <v>-774.8</v>
      </c>
      <c r="AD88" s="42"/>
      <c r="AE88" s="42"/>
      <c r="AF88" s="42"/>
      <c r="AG88" s="42"/>
      <c r="AH88" s="41"/>
      <c r="AI88" s="41"/>
      <c r="AJ88" s="41"/>
    </row>
    <row r="89" spans="2:36" x14ac:dyDescent="0.25">
      <c r="B89" s="1" t="s">
        <v>212</v>
      </c>
      <c r="I89" s="41">
        <v>7.5</v>
      </c>
      <c r="J89" s="41"/>
      <c r="K89" s="41"/>
      <c r="L89" s="41"/>
      <c r="M89" s="41"/>
      <c r="N89" s="41">
        <v>5.3</v>
      </c>
      <c r="O89" s="42"/>
      <c r="P89" s="42"/>
      <c r="Q89" s="42"/>
      <c r="R89" s="42"/>
      <c r="S89" s="41">
        <v>12.2</v>
      </c>
      <c r="T89" s="42"/>
      <c r="U89" s="42"/>
      <c r="V89" s="42"/>
      <c r="W89" s="42"/>
      <c r="X89" s="41">
        <v>2.2000000000000002</v>
      </c>
      <c r="Y89" s="42"/>
      <c r="Z89" s="42"/>
      <c r="AA89" s="42"/>
      <c r="AB89" s="42"/>
      <c r="AC89" s="41">
        <v>9.9</v>
      </c>
      <c r="AD89" s="42"/>
      <c r="AE89" s="42"/>
      <c r="AF89" s="42"/>
      <c r="AG89" s="42"/>
      <c r="AH89" s="41"/>
      <c r="AI89" s="41"/>
      <c r="AJ89" s="41"/>
    </row>
    <row r="90" spans="2:36" x14ac:dyDescent="0.25">
      <c r="B90" s="2" t="s">
        <v>213</v>
      </c>
      <c r="I90" s="41">
        <v>-391.4</v>
      </c>
      <c r="J90" s="41"/>
      <c r="K90" s="41"/>
      <c r="L90" s="41"/>
      <c r="M90" s="41"/>
      <c r="N90" s="41">
        <v>-487</v>
      </c>
      <c r="O90" s="42"/>
      <c r="P90" s="42"/>
      <c r="Q90" s="42"/>
      <c r="R90" s="42"/>
      <c r="S90" s="41">
        <v>-3923.7</v>
      </c>
      <c r="T90" s="42"/>
      <c r="U90" s="42"/>
      <c r="V90" s="42"/>
      <c r="W90" s="42"/>
      <c r="X90" s="41">
        <v>-7.2</v>
      </c>
      <c r="Y90" s="42"/>
      <c r="Z90" s="42"/>
      <c r="AA90" s="42"/>
      <c r="AB90" s="42"/>
      <c r="AC90" s="41">
        <v>-180.4</v>
      </c>
      <c r="AD90" s="42"/>
      <c r="AE90" s="42"/>
      <c r="AF90" s="42"/>
      <c r="AG90" s="42"/>
      <c r="AH90" s="41"/>
      <c r="AI90" s="41"/>
      <c r="AJ90" s="41"/>
    </row>
    <row r="91" spans="2:36" x14ac:dyDescent="0.25">
      <c r="B91" s="1" t="s">
        <v>203</v>
      </c>
      <c r="I91" s="41">
        <v>6.8</v>
      </c>
      <c r="J91" s="41"/>
      <c r="K91" s="41"/>
      <c r="L91" s="41"/>
      <c r="M91" s="41"/>
      <c r="N91" s="41">
        <v>116.2</v>
      </c>
      <c r="O91" s="42"/>
      <c r="P91" s="42"/>
      <c r="Q91" s="42"/>
      <c r="R91" s="42"/>
      <c r="S91" s="41">
        <v>-25.2</v>
      </c>
      <c r="T91" s="42"/>
      <c r="U91" s="42"/>
      <c r="V91" s="42"/>
      <c r="W91" s="42"/>
      <c r="X91" s="41">
        <v>1</v>
      </c>
      <c r="Y91" s="42"/>
      <c r="Z91" s="42"/>
      <c r="AA91" s="42"/>
      <c r="AB91" s="42"/>
      <c r="AC91" s="41">
        <v>-45.2</v>
      </c>
      <c r="AD91" s="42"/>
      <c r="AE91" s="42"/>
      <c r="AF91" s="42"/>
      <c r="AG91" s="42"/>
      <c r="AH91" s="41"/>
      <c r="AI91" s="41"/>
      <c r="AJ91" s="41"/>
    </row>
    <row r="92" spans="2:36" x14ac:dyDescent="0.25">
      <c r="B92" s="2" t="s">
        <v>214</v>
      </c>
      <c r="I92" s="41">
        <v>-1199.0999999999999</v>
      </c>
      <c r="J92" s="41"/>
      <c r="K92" s="41"/>
      <c r="L92" s="41"/>
      <c r="M92" s="41"/>
      <c r="N92" s="41">
        <v>-414.5</v>
      </c>
      <c r="O92" s="42"/>
      <c r="P92" s="42"/>
      <c r="Q92" s="42"/>
      <c r="R92" s="42"/>
      <c r="S92" s="41">
        <v>-4579.7</v>
      </c>
      <c r="T92" s="42"/>
      <c r="U92" s="42"/>
      <c r="V92" s="42"/>
      <c r="W92" s="42"/>
      <c r="X92" s="41">
        <v>-716.8</v>
      </c>
      <c r="Y92" s="42"/>
      <c r="Z92" s="42"/>
      <c r="AA92" s="42"/>
      <c r="AB92" s="42"/>
      <c r="AC92" s="41">
        <v>-990.5</v>
      </c>
      <c r="AD92" s="42"/>
      <c r="AE92" s="42"/>
      <c r="AF92" s="42"/>
      <c r="AG92" s="42"/>
      <c r="AH92" s="41"/>
      <c r="AI92" s="41"/>
      <c r="AJ92" s="41"/>
    </row>
    <row r="93" spans="2:36" x14ac:dyDescent="0.25">
      <c r="I93" s="41"/>
      <c r="J93" s="41"/>
      <c r="K93" s="41"/>
      <c r="L93" s="41"/>
      <c r="M93" s="41"/>
      <c r="N93" s="41"/>
      <c r="O93" s="42"/>
      <c r="P93" s="42"/>
      <c r="Q93" s="42"/>
      <c r="R93" s="42"/>
      <c r="S93" s="41"/>
      <c r="T93" s="42"/>
      <c r="U93" s="42"/>
      <c r="V93" s="42"/>
      <c r="W93" s="42"/>
      <c r="X93" s="41"/>
      <c r="Y93" s="42"/>
      <c r="Z93" s="42"/>
      <c r="AA93" s="42"/>
      <c r="AB93" s="42"/>
      <c r="AC93" s="41"/>
      <c r="AD93" s="42"/>
      <c r="AE93" s="42"/>
      <c r="AF93" s="42"/>
      <c r="AG93" s="42"/>
      <c r="AH93" s="41"/>
      <c r="AI93" s="41"/>
      <c r="AJ93" s="41"/>
    </row>
    <row r="94" spans="2:36" x14ac:dyDescent="0.25">
      <c r="B94" s="51" t="s">
        <v>60</v>
      </c>
      <c r="I94" s="41"/>
      <c r="J94" s="41"/>
      <c r="K94" s="41"/>
      <c r="L94" s="41"/>
      <c r="M94" s="41"/>
      <c r="N94" s="41"/>
      <c r="O94" s="42"/>
      <c r="P94" s="42"/>
      <c r="Q94" s="42"/>
      <c r="R94" s="42"/>
      <c r="S94" s="41"/>
      <c r="T94" s="42"/>
      <c r="U94" s="42"/>
      <c r="V94" s="42"/>
      <c r="W94" s="42"/>
      <c r="X94" s="41"/>
      <c r="Y94" s="42"/>
      <c r="Z94" s="42"/>
      <c r="AA94" s="42"/>
      <c r="AB94" s="42"/>
      <c r="AC94" s="41"/>
      <c r="AD94" s="42"/>
      <c r="AE94" s="42"/>
      <c r="AF94" s="42"/>
      <c r="AG94" s="42"/>
      <c r="AH94" s="41"/>
      <c r="AI94" s="41"/>
      <c r="AJ94" s="41"/>
    </row>
    <row r="95" spans="2:36" x14ac:dyDescent="0.25">
      <c r="B95" s="2" t="s">
        <v>215</v>
      </c>
      <c r="I95" s="41">
        <v>-252</v>
      </c>
      <c r="J95" s="41"/>
      <c r="K95" s="41"/>
      <c r="L95" s="41"/>
      <c r="M95" s="41"/>
      <c r="N95" s="41">
        <v>-65.5</v>
      </c>
      <c r="O95" s="42"/>
      <c r="P95" s="42"/>
      <c r="Q95" s="42"/>
      <c r="R95" s="42"/>
      <c r="S95" s="41">
        <v>393.6</v>
      </c>
      <c r="T95" s="42"/>
      <c r="U95" s="42"/>
      <c r="V95" s="42"/>
      <c r="W95" s="42"/>
      <c r="X95" s="41">
        <v>-404.3</v>
      </c>
      <c r="Y95" s="42"/>
      <c r="Z95" s="42"/>
      <c r="AA95" s="42"/>
      <c r="AB95" s="42"/>
      <c r="AC95" s="41">
        <v>-1.9</v>
      </c>
      <c r="AD95" s="42"/>
      <c r="AE95" s="42"/>
      <c r="AF95" s="42"/>
      <c r="AG95" s="42"/>
      <c r="AH95" s="41"/>
      <c r="AI95" s="41"/>
      <c r="AJ95" s="41"/>
    </row>
    <row r="96" spans="2:36" x14ac:dyDescent="0.25">
      <c r="B96" s="1" t="s">
        <v>216</v>
      </c>
      <c r="I96" s="41">
        <v>0</v>
      </c>
      <c r="J96" s="41"/>
      <c r="K96" s="41"/>
      <c r="L96" s="41"/>
      <c r="M96" s="41"/>
      <c r="N96" s="41">
        <v>1855.9</v>
      </c>
      <c r="O96" s="42"/>
      <c r="P96" s="42"/>
      <c r="Q96" s="42"/>
      <c r="R96" s="42"/>
      <c r="S96" s="41">
        <v>2775</v>
      </c>
      <c r="T96" s="42"/>
      <c r="U96" s="42"/>
      <c r="V96" s="42"/>
      <c r="W96" s="42"/>
      <c r="X96" s="41">
        <v>494</v>
      </c>
      <c r="Y96" s="42"/>
      <c r="Z96" s="42"/>
      <c r="AA96" s="42"/>
      <c r="AB96" s="42"/>
      <c r="AC96" s="41">
        <v>0</v>
      </c>
      <c r="AD96" s="42"/>
      <c r="AE96" s="42"/>
      <c r="AF96" s="42"/>
      <c r="AG96" s="42"/>
      <c r="AH96" s="41"/>
      <c r="AI96" s="41"/>
      <c r="AJ96" s="41"/>
    </row>
    <row r="97" spans="2:36" x14ac:dyDescent="0.25">
      <c r="B97" s="1" t="s">
        <v>217</v>
      </c>
      <c r="I97" s="41">
        <v>-400.6</v>
      </c>
      <c r="J97" s="41"/>
      <c r="K97" s="41"/>
      <c r="L97" s="41"/>
      <c r="M97" s="41"/>
      <c r="N97" s="41">
        <v>-1570</v>
      </c>
      <c r="O97" s="42"/>
      <c r="P97" s="42"/>
      <c r="Q97" s="42"/>
      <c r="R97" s="42"/>
      <c r="S97" s="41">
        <v>-1017.9</v>
      </c>
      <c r="T97" s="42"/>
      <c r="U97" s="42"/>
      <c r="V97" s="42"/>
      <c r="W97" s="42"/>
      <c r="X97" s="41">
        <v>0</v>
      </c>
      <c r="Y97" s="42"/>
      <c r="Z97" s="42"/>
      <c r="AA97" s="42"/>
      <c r="AB97" s="42"/>
      <c r="AC97" s="41">
        <v>-500</v>
      </c>
      <c r="AD97" s="42"/>
      <c r="AE97" s="42"/>
      <c r="AF97" s="42"/>
      <c r="AG97" s="42"/>
      <c r="AH97" s="41"/>
      <c r="AI97" s="41"/>
      <c r="AJ97" s="41"/>
    </row>
    <row r="98" spans="2:36" x14ac:dyDescent="0.25">
      <c r="B98" s="1" t="s">
        <v>218</v>
      </c>
      <c r="I98" s="41">
        <v>-353.7</v>
      </c>
      <c r="J98" s="41"/>
      <c r="K98" s="41"/>
      <c r="L98" s="41"/>
      <c r="M98" s="41"/>
      <c r="N98" s="41">
        <v>-146.19999999999999</v>
      </c>
      <c r="O98" s="42"/>
      <c r="P98" s="42"/>
      <c r="Q98" s="42"/>
      <c r="R98" s="42"/>
      <c r="S98" s="41">
        <v>-106.6</v>
      </c>
      <c r="T98" s="42"/>
      <c r="U98" s="42"/>
      <c r="V98" s="42"/>
      <c r="W98" s="42"/>
      <c r="X98" s="41">
        <v>-518.20000000000005</v>
      </c>
      <c r="Y98" s="42"/>
      <c r="Z98" s="42"/>
      <c r="AA98" s="42"/>
      <c r="AB98" s="42"/>
      <c r="AC98" s="41">
        <v>-13.73</v>
      </c>
      <c r="AD98" s="42"/>
      <c r="AE98" s="42"/>
      <c r="AF98" s="42"/>
      <c r="AG98" s="42"/>
      <c r="AH98" s="41"/>
      <c r="AI98" s="41"/>
      <c r="AJ98" s="41"/>
    </row>
    <row r="99" spans="2:36" x14ac:dyDescent="0.25">
      <c r="B99" s="1" t="s">
        <v>219</v>
      </c>
      <c r="I99" s="41">
        <v>-552.9</v>
      </c>
      <c r="J99" s="41"/>
      <c r="K99" s="41"/>
      <c r="L99" s="41"/>
      <c r="M99" s="41"/>
      <c r="N99" s="41">
        <v>-560.79999999999995</v>
      </c>
      <c r="O99" s="42"/>
      <c r="P99" s="42"/>
      <c r="Q99" s="42"/>
      <c r="R99" s="42"/>
      <c r="S99" s="41">
        <v>-566.4</v>
      </c>
      <c r="T99" s="42"/>
      <c r="U99" s="42"/>
      <c r="V99" s="42"/>
      <c r="W99" s="42"/>
      <c r="X99" s="41">
        <v>-602.79999999999995</v>
      </c>
      <c r="Y99" s="42"/>
      <c r="Z99" s="42"/>
      <c r="AA99" s="42"/>
      <c r="AB99" s="42"/>
      <c r="AC99" s="41">
        <v>-617.29999999999995</v>
      </c>
      <c r="AD99" s="42"/>
      <c r="AE99" s="42"/>
      <c r="AF99" s="42"/>
      <c r="AG99" s="42"/>
      <c r="AH99" s="41"/>
      <c r="AI99" s="41"/>
      <c r="AJ99" s="41"/>
    </row>
    <row r="100" spans="2:36" x14ac:dyDescent="0.25">
      <c r="B100" s="2" t="s">
        <v>220</v>
      </c>
      <c r="I100" s="41">
        <v>186.8</v>
      </c>
      <c r="J100" s="41"/>
      <c r="K100" s="41"/>
      <c r="L100" s="41"/>
      <c r="M100" s="41"/>
      <c r="N100" s="41">
        <v>241.5</v>
      </c>
      <c r="O100" s="42"/>
      <c r="P100" s="42"/>
      <c r="Q100" s="42"/>
      <c r="R100" s="42"/>
      <c r="S100" s="41">
        <v>143.5</v>
      </c>
      <c r="T100" s="42"/>
      <c r="U100" s="42"/>
      <c r="V100" s="42"/>
      <c r="W100" s="42"/>
      <c r="X100" s="41">
        <v>29.1</v>
      </c>
      <c r="Y100" s="42"/>
      <c r="Z100" s="42"/>
      <c r="AA100" s="42"/>
      <c r="AB100" s="42"/>
      <c r="AC100" s="41">
        <v>96.8</v>
      </c>
      <c r="AD100" s="42"/>
      <c r="AE100" s="42"/>
      <c r="AF100" s="42"/>
      <c r="AG100" s="42"/>
      <c r="AH100" s="41"/>
      <c r="AI100" s="41"/>
      <c r="AJ100" s="41"/>
    </row>
    <row r="101" spans="2:36" x14ac:dyDescent="0.25">
      <c r="B101" s="1" t="s">
        <v>202</v>
      </c>
      <c r="I101" s="41">
        <v>0</v>
      </c>
      <c r="J101" s="41"/>
      <c r="K101" s="41"/>
      <c r="L101" s="41"/>
      <c r="M101" s="41"/>
      <c r="N101" s="41">
        <v>-77.099999999999994</v>
      </c>
      <c r="O101" s="42"/>
      <c r="P101" s="42"/>
      <c r="Q101" s="42"/>
      <c r="R101" s="42"/>
      <c r="S101" s="41">
        <v>-29.4</v>
      </c>
      <c r="T101" s="42"/>
      <c r="U101" s="42"/>
      <c r="V101" s="42"/>
      <c r="W101" s="42"/>
      <c r="X101" s="41">
        <v>0</v>
      </c>
      <c r="Y101" s="42"/>
      <c r="Z101" s="42"/>
      <c r="AA101" s="42"/>
      <c r="AB101" s="42"/>
      <c r="AC101" s="41">
        <v>0</v>
      </c>
      <c r="AD101" s="42"/>
      <c r="AE101" s="42"/>
      <c r="AF101" s="42"/>
      <c r="AG101" s="42"/>
      <c r="AH101" s="41"/>
      <c r="AI101" s="41"/>
      <c r="AJ101" s="41"/>
    </row>
    <row r="102" spans="2:36" x14ac:dyDescent="0.25">
      <c r="B102" s="1" t="s">
        <v>221</v>
      </c>
      <c r="I102" s="41">
        <v>0</v>
      </c>
      <c r="J102" s="41"/>
      <c r="K102" s="41"/>
      <c r="L102" s="41"/>
      <c r="M102" s="41"/>
      <c r="N102" s="41">
        <v>0</v>
      </c>
      <c r="O102" s="42"/>
      <c r="P102" s="42"/>
      <c r="Q102" s="42"/>
      <c r="R102" s="42"/>
      <c r="S102" s="41">
        <v>25.9</v>
      </c>
      <c r="T102" s="42"/>
      <c r="U102" s="42"/>
      <c r="V102" s="42"/>
      <c r="W102" s="42"/>
      <c r="X102" s="41">
        <v>172</v>
      </c>
      <c r="Y102" s="42"/>
      <c r="Z102" s="42"/>
      <c r="AA102" s="42"/>
      <c r="AB102" s="42"/>
      <c r="AC102" s="41">
        <v>-15.3</v>
      </c>
      <c r="AD102" s="42"/>
      <c r="AE102" s="42"/>
      <c r="AF102" s="42"/>
      <c r="AG102" s="42"/>
      <c r="AH102" s="41"/>
      <c r="AI102" s="41"/>
      <c r="AJ102" s="41"/>
    </row>
    <row r="103" spans="2:36" x14ac:dyDescent="0.25">
      <c r="B103" s="1" t="s">
        <v>203</v>
      </c>
      <c r="I103" s="41">
        <v>25.8</v>
      </c>
      <c r="J103" s="41"/>
      <c r="K103" s="41"/>
      <c r="L103" s="41"/>
      <c r="M103" s="41"/>
      <c r="N103" s="41">
        <v>-18</v>
      </c>
      <c r="O103" s="42"/>
      <c r="P103" s="42"/>
      <c r="Q103" s="42"/>
      <c r="R103" s="42"/>
      <c r="S103" s="41">
        <v>-14.5</v>
      </c>
      <c r="T103" s="42"/>
      <c r="U103" s="42"/>
      <c r="V103" s="42"/>
      <c r="W103" s="42"/>
      <c r="X103" s="41">
        <v>-7.1</v>
      </c>
      <c r="Y103" s="42"/>
      <c r="Z103" s="42"/>
      <c r="AA103" s="42"/>
      <c r="AB103" s="42"/>
      <c r="AC103" s="41">
        <v>-3.3</v>
      </c>
      <c r="AD103" s="42"/>
      <c r="AE103" s="42"/>
      <c r="AF103" s="42"/>
      <c r="AG103" s="42"/>
      <c r="AH103" s="41"/>
      <c r="AI103" s="41"/>
      <c r="AJ103" s="41"/>
    </row>
    <row r="104" spans="2:36" x14ac:dyDescent="0.25">
      <c r="B104" s="2" t="s">
        <v>222</v>
      </c>
      <c r="I104" s="41">
        <v>-1349.6</v>
      </c>
      <c r="J104" s="41"/>
      <c r="K104" s="41"/>
      <c r="L104" s="41"/>
      <c r="M104" s="41"/>
      <c r="N104" s="41">
        <v>-341.8</v>
      </c>
      <c r="O104" s="42"/>
      <c r="P104" s="42"/>
      <c r="Q104" s="42"/>
      <c r="R104" s="42"/>
      <c r="S104" s="41">
        <v>1603.2</v>
      </c>
      <c r="T104" s="42"/>
      <c r="U104" s="42"/>
      <c r="V104" s="42"/>
      <c r="W104" s="42"/>
      <c r="X104" s="41">
        <v>-837.3</v>
      </c>
      <c r="Y104" s="42"/>
      <c r="Z104" s="42"/>
      <c r="AA104" s="42"/>
      <c r="AB104" s="42"/>
      <c r="AC104" s="41">
        <v>-1054.7</v>
      </c>
      <c r="AD104" s="42"/>
      <c r="AE104" s="42"/>
      <c r="AF104" s="42"/>
      <c r="AG104" s="42"/>
      <c r="AH104" s="41"/>
      <c r="AI104" s="41"/>
      <c r="AJ104" s="41"/>
    </row>
    <row r="105" spans="2:36" x14ac:dyDescent="0.25">
      <c r="B105"/>
      <c r="I105" s="41"/>
      <c r="J105" s="41"/>
      <c r="K105" s="41"/>
      <c r="L105" s="41"/>
      <c r="M105" s="41"/>
      <c r="N105" s="41"/>
      <c r="O105" s="42"/>
      <c r="P105" s="42"/>
      <c r="Q105" s="42"/>
      <c r="R105" s="42"/>
      <c r="S105" s="41"/>
      <c r="T105" s="42"/>
      <c r="U105" s="42"/>
      <c r="V105" s="42"/>
      <c r="W105" s="42"/>
      <c r="X105" s="41"/>
      <c r="Y105" s="42"/>
      <c r="Z105" s="42"/>
      <c r="AA105" s="42"/>
      <c r="AB105" s="42"/>
      <c r="AC105" s="41"/>
      <c r="AD105" s="42"/>
      <c r="AE105" s="42"/>
      <c r="AF105" s="42"/>
      <c r="AG105" s="42"/>
      <c r="AH105" s="41"/>
      <c r="AI105" s="41"/>
      <c r="AJ105" s="41"/>
    </row>
    <row r="106" spans="2:36" x14ac:dyDescent="0.25">
      <c r="B106" s="2" t="s">
        <v>223</v>
      </c>
      <c r="I106" s="41">
        <v>20.399999999999999</v>
      </c>
      <c r="J106" s="41"/>
      <c r="K106" s="41"/>
      <c r="L106" s="41"/>
      <c r="M106" s="41"/>
      <c r="N106" s="41">
        <v>-30.1</v>
      </c>
      <c r="O106" s="42"/>
      <c r="P106" s="42"/>
      <c r="Q106" s="42"/>
      <c r="R106" s="42"/>
      <c r="S106" s="41">
        <v>14.3</v>
      </c>
      <c r="T106" s="42"/>
      <c r="U106" s="42"/>
      <c r="V106" s="42"/>
      <c r="W106" s="42"/>
      <c r="X106" s="41">
        <v>4.4000000000000004</v>
      </c>
      <c r="Y106" s="42"/>
      <c r="Z106" s="42"/>
      <c r="AA106" s="42"/>
      <c r="AB106" s="42"/>
      <c r="AC106" s="41">
        <v>-45.7</v>
      </c>
      <c r="AD106" s="42"/>
      <c r="AE106" s="42"/>
      <c r="AF106" s="42"/>
      <c r="AG106" s="42"/>
      <c r="AH106" s="41"/>
      <c r="AI106" s="41"/>
      <c r="AJ106" s="41"/>
    </row>
    <row r="107" spans="2:36" x14ac:dyDescent="0.25">
      <c r="B107"/>
      <c r="I107" s="41"/>
      <c r="J107" s="41"/>
      <c r="K107" s="41"/>
      <c r="L107" s="41"/>
      <c r="M107" s="41"/>
      <c r="N107" s="41"/>
      <c r="O107" s="42"/>
      <c r="P107" s="42"/>
      <c r="Q107" s="42"/>
      <c r="R107" s="42"/>
      <c r="S107" s="41"/>
      <c r="T107" s="42"/>
      <c r="U107" s="42"/>
      <c r="V107" s="42"/>
      <c r="W107" s="42"/>
      <c r="X107" s="41"/>
      <c r="Y107" s="42"/>
      <c r="Z107" s="42"/>
      <c r="AA107" s="42"/>
      <c r="AB107" s="42"/>
      <c r="AC107" s="41"/>
      <c r="AD107" s="42"/>
      <c r="AE107" s="42"/>
      <c r="AF107" s="42"/>
      <c r="AG107" s="42"/>
      <c r="AH107" s="41"/>
      <c r="AI107" s="41"/>
      <c r="AJ107" s="41"/>
    </row>
    <row r="108" spans="2:36" x14ac:dyDescent="0.25">
      <c r="B108" s="2" t="s">
        <v>224</v>
      </c>
      <c r="I108" s="41">
        <v>-107.6</v>
      </c>
      <c r="J108" s="41"/>
      <c r="K108" s="41"/>
      <c r="L108" s="41"/>
      <c r="M108" s="41"/>
      <c r="N108" s="41">
        <v>1073.8</v>
      </c>
      <c r="O108" s="42"/>
      <c r="P108" s="42"/>
      <c r="Q108" s="42"/>
      <c r="R108" s="42"/>
      <c r="S108" s="41">
        <v>-900.3</v>
      </c>
      <c r="T108" s="42"/>
      <c r="U108" s="42"/>
      <c r="V108" s="42"/>
      <c r="W108" s="42"/>
      <c r="X108" s="41">
        <v>238.7</v>
      </c>
      <c r="Y108" s="42"/>
      <c r="Z108" s="42"/>
      <c r="AA108" s="42"/>
      <c r="AB108" s="42"/>
      <c r="AC108" s="41">
        <v>320.89999999999998</v>
      </c>
      <c r="AD108" s="42"/>
      <c r="AE108" s="42"/>
      <c r="AF108" s="42"/>
      <c r="AG108" s="42"/>
      <c r="AH108" s="41"/>
      <c r="AI108" s="41"/>
      <c r="AJ108" s="41"/>
    </row>
    <row r="109" spans="2:36" x14ac:dyDescent="0.25">
      <c r="B109" s="2" t="s">
        <v>225</v>
      </c>
      <c r="I109" s="41">
        <v>243.2</v>
      </c>
      <c r="J109" s="41"/>
      <c r="K109" s="41"/>
      <c r="L109" s="41"/>
      <c r="M109" s="41"/>
      <c r="N109" s="41">
        <v>118.8</v>
      </c>
      <c r="O109" s="42"/>
      <c r="P109" s="42"/>
      <c r="Q109" s="42"/>
      <c r="R109" s="42"/>
      <c r="S109" s="41">
        <v>1260.2</v>
      </c>
      <c r="T109" s="42"/>
      <c r="U109" s="42"/>
      <c r="V109" s="42"/>
      <c r="W109" s="42"/>
      <c r="X109" s="41">
        <v>359.9</v>
      </c>
      <c r="Y109" s="42"/>
      <c r="Z109" s="42"/>
      <c r="AA109" s="42"/>
      <c r="AB109" s="42"/>
      <c r="AC109" s="41">
        <v>598.6</v>
      </c>
      <c r="AD109" s="42"/>
      <c r="AE109" s="42"/>
      <c r="AF109" s="42"/>
      <c r="AG109" s="42"/>
      <c r="AH109" s="41"/>
      <c r="AI109" s="41"/>
      <c r="AJ109" s="41"/>
    </row>
    <row r="110" spans="2:36" x14ac:dyDescent="0.25">
      <c r="B110" s="2" t="s">
        <v>226</v>
      </c>
      <c r="I110" s="41">
        <v>186.4</v>
      </c>
      <c r="J110" s="41"/>
      <c r="K110" s="41"/>
      <c r="L110" s="41"/>
      <c r="M110" s="41"/>
      <c r="N110" s="41">
        <v>1260.2</v>
      </c>
      <c r="O110" s="42"/>
      <c r="P110" s="42"/>
      <c r="Q110" s="42"/>
      <c r="R110" s="42"/>
      <c r="S110" s="41">
        <v>359.9</v>
      </c>
      <c r="T110" s="42"/>
      <c r="U110" s="42"/>
      <c r="V110" s="42"/>
      <c r="W110" s="42"/>
      <c r="X110" s="41">
        <v>598.6</v>
      </c>
      <c r="Y110" s="42"/>
      <c r="Z110" s="42"/>
      <c r="AA110" s="42"/>
      <c r="AB110" s="42"/>
      <c r="AC110" s="41">
        <v>919.5</v>
      </c>
      <c r="AD110" s="42"/>
      <c r="AE110" s="42"/>
      <c r="AF110" s="42"/>
      <c r="AG110" s="42"/>
      <c r="AH110" s="41"/>
      <c r="AI110" s="41"/>
      <c r="AJ110" s="41"/>
    </row>
    <row r="111" spans="2:36" x14ac:dyDescent="0.25">
      <c r="B111"/>
      <c r="I111" s="41"/>
      <c r="J111" s="41"/>
      <c r="K111" s="41"/>
      <c r="L111" s="41"/>
      <c r="M111" s="41"/>
      <c r="N111" s="41"/>
      <c r="O111" s="42"/>
      <c r="P111" s="42"/>
      <c r="Q111" s="42"/>
      <c r="R111" s="42"/>
      <c r="S111" s="41"/>
      <c r="T111" s="42"/>
      <c r="U111" s="42"/>
      <c r="V111" s="42"/>
      <c r="W111" s="42"/>
      <c r="X111" s="41"/>
      <c r="Y111" s="42"/>
      <c r="Z111" s="42"/>
      <c r="AA111" s="42"/>
      <c r="AB111" s="42"/>
      <c r="AC111" s="41"/>
      <c r="AD111" s="42"/>
      <c r="AE111" s="42"/>
      <c r="AF111" s="42"/>
      <c r="AG111" s="42"/>
      <c r="AH111" s="41"/>
      <c r="AI111" s="41"/>
      <c r="AJ111" s="41"/>
    </row>
    <row r="112" spans="2:36" x14ac:dyDescent="0.25">
      <c r="B112" s="4" t="s">
        <v>227</v>
      </c>
      <c r="I112" s="41"/>
      <c r="J112" s="41"/>
      <c r="K112" s="41"/>
      <c r="L112" s="41"/>
      <c r="M112" s="41"/>
      <c r="N112" s="41"/>
      <c r="O112" s="42"/>
      <c r="P112" s="42"/>
      <c r="Q112" s="42"/>
      <c r="R112" s="42"/>
      <c r="S112" s="41"/>
      <c r="T112" s="42"/>
      <c r="U112" s="42"/>
      <c r="V112" s="42"/>
      <c r="W112" s="42"/>
      <c r="X112" s="41"/>
      <c r="Y112" s="42"/>
      <c r="Z112" s="42"/>
      <c r="AA112" s="42"/>
      <c r="AB112" s="42"/>
      <c r="AC112" s="41"/>
      <c r="AD112" s="42"/>
      <c r="AE112" s="42"/>
      <c r="AF112" s="42"/>
      <c r="AG112" s="42"/>
      <c r="AH112" s="41"/>
      <c r="AI112" s="41"/>
      <c r="AJ112" s="41"/>
    </row>
    <row r="113" spans="2:36" x14ac:dyDescent="0.25">
      <c r="B113" s="1" t="s">
        <v>228</v>
      </c>
      <c r="I113" s="41">
        <v>337.4</v>
      </c>
      <c r="J113" s="41"/>
      <c r="K113" s="41"/>
      <c r="L113" s="41"/>
      <c r="M113" s="41"/>
      <c r="N113" s="41">
        <v>366.9</v>
      </c>
      <c r="O113" s="42"/>
      <c r="P113" s="42"/>
      <c r="Q113" s="42"/>
      <c r="R113" s="42"/>
      <c r="S113" s="41">
        <v>275.7</v>
      </c>
      <c r="T113" s="42"/>
      <c r="U113" s="42"/>
      <c r="V113" s="42"/>
      <c r="W113" s="42"/>
      <c r="X113" s="41">
        <v>308.89999999999998</v>
      </c>
      <c r="Y113" s="42"/>
      <c r="Z113" s="42"/>
      <c r="AA113" s="42"/>
      <c r="AB113" s="42"/>
      <c r="AC113" s="41">
        <v>469.2</v>
      </c>
      <c r="AD113" s="42"/>
      <c r="AE113" s="42"/>
      <c r="AF113" s="42"/>
      <c r="AG113" s="42"/>
      <c r="AH113" s="41"/>
      <c r="AI113" s="41"/>
      <c r="AJ113" s="41"/>
    </row>
    <row r="114" spans="2:36" x14ac:dyDescent="0.25">
      <c r="B114" s="1" t="s">
        <v>229</v>
      </c>
      <c r="I114" s="41">
        <v>189.4</v>
      </c>
      <c r="J114" s="41"/>
      <c r="K114" s="41"/>
      <c r="L114" s="41"/>
      <c r="M114" s="41"/>
      <c r="N114" s="41">
        <v>262.5</v>
      </c>
      <c r="O114" s="42"/>
      <c r="P114" s="42"/>
      <c r="Q114" s="42"/>
      <c r="R114" s="42"/>
      <c r="S114" s="41">
        <v>208.7</v>
      </c>
      <c r="T114" s="42"/>
      <c r="U114" s="42"/>
      <c r="V114" s="42"/>
      <c r="W114" s="42"/>
      <c r="X114" s="41">
        <v>222.4</v>
      </c>
      <c r="Y114" s="42"/>
      <c r="Z114" s="42"/>
      <c r="AA114" s="42"/>
      <c r="AB114" s="42"/>
      <c r="AC114" s="41">
        <v>324.8</v>
      </c>
      <c r="AD114" s="42"/>
      <c r="AE114" s="42"/>
      <c r="AF114" s="42"/>
      <c r="AG114" s="42"/>
      <c r="AH114" s="41"/>
      <c r="AI114" s="41"/>
      <c r="AJ114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82FF-1733-426C-B570-C5482EF5B186}">
  <sheetPr>
    <tabColor theme="9" tint="-0.249977111117893"/>
  </sheetPr>
  <dimension ref="A1:AQ158"/>
  <sheetViews>
    <sheetView tabSelected="1" zoomScale="85" zoomScaleNormal="80" workbookViewId="0">
      <pane xSplit="3" ySplit="4" topLeftCell="I5" activePane="bottomRight" state="frozen"/>
      <selection activeCell="B46" sqref="B46"/>
      <selection pane="topRight" activeCell="B46" sqref="B46"/>
      <selection pane="bottomLeft" activeCell="B46" sqref="B46"/>
      <selection pane="bottomRight" activeCell="AG22" sqref="AG22"/>
    </sheetView>
  </sheetViews>
  <sheetFormatPr defaultColWidth="8.85546875" defaultRowHeight="15" outlineLevelCol="1" x14ac:dyDescent="0.25"/>
  <cols>
    <col min="1" max="1" width="0.42578125" style="17" customWidth="1"/>
    <col min="2" max="2" width="105.42578125" style="17" bestFit="1" customWidth="1"/>
    <col min="3" max="3" width="1.140625" style="17" customWidth="1"/>
    <col min="4" max="4" width="1.7109375" style="17" hidden="1" customWidth="1" outlineLevel="1"/>
    <col min="5" max="6" width="11.42578125" style="17" hidden="1" customWidth="1" outlineLevel="1"/>
    <col min="7" max="7" width="12.42578125" style="17" hidden="1" customWidth="1" outlineLevel="1"/>
    <col min="8" max="8" width="12.28515625" style="17" hidden="1" customWidth="1" outlineLevel="1"/>
    <col min="9" max="9" width="12.42578125" style="71" customWidth="1" collapsed="1"/>
    <col min="10" max="13" width="12.140625" style="71" hidden="1" customWidth="1" outlineLevel="1"/>
    <col min="14" max="14" width="12.7109375" style="71" bestFit="1" customWidth="1" collapsed="1"/>
    <col min="15" max="18" width="12.140625" style="71" hidden="1" customWidth="1" outlineLevel="1"/>
    <col min="19" max="19" width="13.42578125" style="71" bestFit="1" customWidth="1" collapsed="1"/>
    <col min="20" max="23" width="12.28515625" style="71" hidden="1" customWidth="1" outlineLevel="1"/>
    <col min="24" max="24" width="12.7109375" style="71" bestFit="1" customWidth="1" collapsed="1"/>
    <col min="25" max="28" width="12.28515625" style="71" hidden="1" customWidth="1" outlineLevel="1"/>
    <col min="29" max="29" width="12.7109375" style="71" bestFit="1" customWidth="1" collapsed="1"/>
    <col min="30" max="30" width="12.28515625" style="71" customWidth="1" outlineLevel="1"/>
    <col min="31" max="31" width="14.140625" style="71" customWidth="1" outlineLevel="1"/>
    <col min="32" max="32" width="13.7109375" style="71" customWidth="1" outlineLevel="1"/>
    <col min="33" max="33" width="12.28515625" style="71" customWidth="1" outlineLevel="1"/>
    <col min="34" max="35" width="12.85546875" style="71" customWidth="1"/>
    <col min="36" max="36" width="14.140625" style="71" customWidth="1"/>
    <col min="37" max="16384" width="8.85546875" style="17"/>
  </cols>
  <sheetData>
    <row r="1" spans="1:43" s="12" customFormat="1" x14ac:dyDescent="0.25">
      <c r="B1" s="13" t="s">
        <v>210</v>
      </c>
      <c r="C1" s="14"/>
      <c r="E1" s="15"/>
      <c r="F1" s="15"/>
      <c r="G1" s="15"/>
      <c r="H1" s="15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17"/>
      <c r="AL1" s="17"/>
      <c r="AM1" s="17"/>
      <c r="AN1" s="17"/>
      <c r="AO1" s="17"/>
      <c r="AP1" s="17"/>
      <c r="AQ1" s="17"/>
    </row>
    <row r="2" spans="1:43" x14ac:dyDescent="0.25">
      <c r="B2" s="12" t="s">
        <v>27</v>
      </c>
      <c r="C2" s="12"/>
      <c r="D2" s="18"/>
      <c r="E2" s="54" t="s">
        <v>28</v>
      </c>
      <c r="F2" s="54" t="s">
        <v>29</v>
      </c>
      <c r="G2" s="54" t="s">
        <v>30</v>
      </c>
      <c r="H2" s="54" t="s">
        <v>31</v>
      </c>
      <c r="I2" s="54">
        <v>2019</v>
      </c>
      <c r="J2" s="54" t="s">
        <v>32</v>
      </c>
      <c r="K2" s="54" t="s">
        <v>33</v>
      </c>
      <c r="L2" s="54" t="s">
        <v>34</v>
      </c>
      <c r="M2" s="54" t="s">
        <v>35</v>
      </c>
      <c r="N2" s="54">
        <v>2020</v>
      </c>
      <c r="O2" s="54" t="s">
        <v>36</v>
      </c>
      <c r="P2" s="54" t="s">
        <v>37</v>
      </c>
      <c r="Q2" s="54" t="s">
        <v>38</v>
      </c>
      <c r="R2" s="54" t="s">
        <v>39</v>
      </c>
      <c r="S2" s="54">
        <v>2021</v>
      </c>
      <c r="T2" s="54" t="s">
        <v>26</v>
      </c>
      <c r="U2" s="54" t="s">
        <v>25</v>
      </c>
      <c r="V2" s="54" t="s">
        <v>24</v>
      </c>
      <c r="W2" s="54" t="s">
        <v>23</v>
      </c>
      <c r="X2" s="54">
        <v>2022</v>
      </c>
      <c r="Y2" s="54" t="s">
        <v>20</v>
      </c>
      <c r="Z2" s="54" t="s">
        <v>11</v>
      </c>
      <c r="AA2" s="54" t="s">
        <v>21</v>
      </c>
      <c r="AB2" s="54" t="s">
        <v>22</v>
      </c>
      <c r="AC2" s="54">
        <v>2023</v>
      </c>
      <c r="AD2" s="54" t="s">
        <v>19</v>
      </c>
      <c r="AE2" s="54" t="s">
        <v>10</v>
      </c>
      <c r="AF2" s="54" t="s">
        <v>40</v>
      </c>
      <c r="AG2" s="54" t="s">
        <v>41</v>
      </c>
      <c r="AH2" s="54" t="s">
        <v>42</v>
      </c>
      <c r="AI2" s="54" t="s">
        <v>43</v>
      </c>
      <c r="AJ2" s="54" t="s">
        <v>44</v>
      </c>
    </row>
    <row r="3" spans="1:43" x14ac:dyDescent="0.25">
      <c r="A3" s="21"/>
      <c r="B3" s="22" t="s">
        <v>45</v>
      </c>
      <c r="C3" s="22"/>
      <c r="D3" s="23"/>
      <c r="E3" s="23">
        <v>43555</v>
      </c>
      <c r="F3" s="23">
        <f>EOMONTH(E3,3)</f>
        <v>43646</v>
      </c>
      <c r="G3" s="23">
        <f>EOMONTH(F3,3)</f>
        <v>43738</v>
      </c>
      <c r="H3" s="23">
        <f>EOMONTH(G3,3)</f>
        <v>43830</v>
      </c>
      <c r="I3" s="55">
        <f>+H3</f>
        <v>43830</v>
      </c>
      <c r="J3" s="56">
        <f>EOMONTH(I3,3)</f>
        <v>43921</v>
      </c>
      <c r="K3" s="56">
        <f>EOMONTH(J3,3)</f>
        <v>44012</v>
      </c>
      <c r="L3" s="56">
        <f>EOMONTH(K3,3)</f>
        <v>44104</v>
      </c>
      <c r="M3" s="56">
        <f>EOMONTH(L3,3)</f>
        <v>44196</v>
      </c>
      <c r="N3" s="56">
        <f>+M3</f>
        <v>44196</v>
      </c>
      <c r="O3" s="56">
        <f>EOMONTH(N3,3)</f>
        <v>44286</v>
      </c>
      <c r="P3" s="56">
        <f>EOMONTH(O3,3)</f>
        <v>44377</v>
      </c>
      <c r="Q3" s="56">
        <f>EOMONTH(P3,3)</f>
        <v>44469</v>
      </c>
      <c r="R3" s="56">
        <f>EOMONTH(Q3,3)</f>
        <v>44561</v>
      </c>
      <c r="S3" s="56">
        <f>+R3</f>
        <v>44561</v>
      </c>
      <c r="T3" s="56">
        <f>EOMONTH(S3,3)</f>
        <v>44651</v>
      </c>
      <c r="U3" s="56">
        <f>EOMONTH(T3,3)</f>
        <v>44742</v>
      </c>
      <c r="V3" s="57">
        <f>EOMONTH(U3,3)</f>
        <v>44834</v>
      </c>
      <c r="W3" s="57">
        <f>EOMONTH(V3,3)</f>
        <v>44926</v>
      </c>
      <c r="X3" s="57">
        <f>+EOMONTH(S3,12)</f>
        <v>44926</v>
      </c>
      <c r="Y3" s="56">
        <f>EOMONTH(W3,3)</f>
        <v>45016</v>
      </c>
      <c r="Z3" s="56">
        <f>EOMONTH(Y3,3)</f>
        <v>45107</v>
      </c>
      <c r="AA3" s="57">
        <f>EOMONTH(Z3,3)</f>
        <v>45199</v>
      </c>
      <c r="AB3" s="57">
        <f>EOMONTH(AA3,3)</f>
        <v>45291</v>
      </c>
      <c r="AC3" s="57">
        <f>+EOMONTH(X3,12)</f>
        <v>45291</v>
      </c>
      <c r="AD3" s="56">
        <f>EOMONTH(AB3,3)</f>
        <v>45382</v>
      </c>
      <c r="AE3" s="56">
        <f>EOMONTH(AD3,3)</f>
        <v>45473</v>
      </c>
      <c r="AF3" s="57">
        <f>EOMONTH(AE3,3)</f>
        <v>45565</v>
      </c>
      <c r="AG3" s="57">
        <f>EOMONTH(AF3,3)</f>
        <v>45657</v>
      </c>
      <c r="AH3" s="58"/>
      <c r="AI3" s="58"/>
      <c r="AJ3" s="58"/>
    </row>
    <row r="4" spans="1:43" x14ac:dyDescent="0.25">
      <c r="B4" s="30" t="s">
        <v>46</v>
      </c>
      <c r="C4" s="30"/>
      <c r="E4" s="31">
        <v>90</v>
      </c>
      <c r="F4" s="31">
        <f>+F3-E3</f>
        <v>91</v>
      </c>
      <c r="G4" s="31">
        <f>+G3-F3</f>
        <v>92</v>
      </c>
      <c r="H4" s="31">
        <f>+H3-G3</f>
        <v>92</v>
      </c>
      <c r="I4" s="59">
        <v>365</v>
      </c>
      <c r="J4" s="60">
        <f>+J3-I3</f>
        <v>91</v>
      </c>
      <c r="K4" s="60">
        <f>+K3-J3</f>
        <v>91</v>
      </c>
      <c r="L4" s="60">
        <f>+L3-K3</f>
        <v>92</v>
      </c>
      <c r="M4" s="60">
        <f>+M3-L3</f>
        <v>92</v>
      </c>
      <c r="N4" s="60">
        <f>+N3-I3</f>
        <v>366</v>
      </c>
      <c r="O4" s="60">
        <f>+O3-N3</f>
        <v>90</v>
      </c>
      <c r="P4" s="60">
        <f>+P3-O3</f>
        <v>91</v>
      </c>
      <c r="Q4" s="60">
        <f>+Q3-P3</f>
        <v>92</v>
      </c>
      <c r="R4" s="60">
        <f>+R3-Q3</f>
        <v>92</v>
      </c>
      <c r="S4" s="60">
        <f>+S3-N3</f>
        <v>365</v>
      </c>
      <c r="T4" s="60">
        <f>+T3-S3</f>
        <v>90</v>
      </c>
      <c r="U4" s="60">
        <f>+U3-T3</f>
        <v>91</v>
      </c>
      <c r="V4" s="61">
        <f>+V3-U3</f>
        <v>92</v>
      </c>
      <c r="W4" s="61">
        <f>+W3-V3</f>
        <v>92</v>
      </c>
      <c r="X4" s="61">
        <f>X3-S3</f>
        <v>365</v>
      </c>
      <c r="Y4" s="60">
        <f>+Y3-W3</f>
        <v>90</v>
      </c>
      <c r="Z4" s="60">
        <f>+Z3-Y3</f>
        <v>91</v>
      </c>
      <c r="AA4" s="61">
        <f>+AA3-Z3</f>
        <v>92</v>
      </c>
      <c r="AB4" s="61">
        <f>+AB3-AA3</f>
        <v>92</v>
      </c>
      <c r="AC4" s="61">
        <f>AC3-X3</f>
        <v>365</v>
      </c>
      <c r="AD4" s="60">
        <f>+AD3-AB3</f>
        <v>91</v>
      </c>
      <c r="AE4" s="60">
        <f>+AE3-AD3</f>
        <v>91</v>
      </c>
      <c r="AF4" s="61">
        <f>+AF3-AE3</f>
        <v>92</v>
      </c>
      <c r="AG4" s="61">
        <f>+AG3-AF3</f>
        <v>92</v>
      </c>
      <c r="AH4" s="62"/>
      <c r="AI4" s="62"/>
      <c r="AJ4" s="62"/>
    </row>
    <row r="5" spans="1:43" x14ac:dyDescent="0.25">
      <c r="A5" s="38"/>
      <c r="B5" s="38" t="s">
        <v>47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43" x14ac:dyDescent="0.25">
      <c r="B6" s="3" t="s">
        <v>0</v>
      </c>
      <c r="C6" s="30"/>
      <c r="E6" s="31"/>
      <c r="F6" s="31"/>
      <c r="G6" s="31"/>
      <c r="H6" s="31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</row>
    <row r="7" spans="1:43" x14ac:dyDescent="0.25">
      <c r="B7" s="1" t="s">
        <v>1</v>
      </c>
      <c r="C7" s="30"/>
      <c r="E7" s="31"/>
      <c r="F7" s="31"/>
      <c r="G7" s="31"/>
      <c r="H7" s="31"/>
      <c r="I7" s="258">
        <f>'Raw Input'!I7</f>
        <v>5174.1000000000004</v>
      </c>
      <c r="J7" s="258">
        <f>'Raw Input'!J7</f>
        <v>0</v>
      </c>
      <c r="K7" s="258">
        <f>'Raw Input'!K7</f>
        <v>0</v>
      </c>
      <c r="L7" s="258">
        <f>'Raw Input'!L7</f>
        <v>0</v>
      </c>
      <c r="M7" s="258">
        <f>'Raw Input'!M7</f>
        <v>0</v>
      </c>
      <c r="N7" s="258">
        <f>'Raw Input'!N7</f>
        <v>5052.3</v>
      </c>
      <c r="O7" s="258">
        <f>'Raw Input'!O7</f>
        <v>1227.5</v>
      </c>
      <c r="P7" s="258">
        <f>'Raw Input'!P7</f>
        <v>1327.5</v>
      </c>
      <c r="Q7" s="258">
        <f>'Raw Input'!Q7</f>
        <v>1386</v>
      </c>
      <c r="R7" s="258">
        <f>'Raw Input'!R7</f>
        <v>1431.3999999999996</v>
      </c>
      <c r="S7" s="258">
        <f>'Raw Input'!S7</f>
        <v>5372.4</v>
      </c>
      <c r="T7" s="258">
        <f>'Raw Input'!T7</f>
        <v>1358.4</v>
      </c>
      <c r="U7" s="258">
        <f>'Raw Input'!U7</f>
        <v>1471.4</v>
      </c>
      <c r="V7" s="258">
        <f>'Raw Input'!V7</f>
        <v>1551.8</v>
      </c>
      <c r="W7" s="258">
        <f>'Raw Input'!W7</f>
        <v>1555.3999999999996</v>
      </c>
      <c r="X7" s="258">
        <f>'Raw Input'!X7</f>
        <v>5937</v>
      </c>
      <c r="Y7" s="258">
        <f>'Raw Input'!Y7</f>
        <v>1592.3</v>
      </c>
      <c r="Z7" s="258">
        <f>'Raw Input'!Z7</f>
        <v>1683.1</v>
      </c>
      <c r="AA7" s="258">
        <f>'Raw Input'!AA7</f>
        <v>1614</v>
      </c>
      <c r="AB7" s="258">
        <f>'Raw Input'!AB7</f>
        <v>1441.6000000000001</v>
      </c>
      <c r="AC7" s="258">
        <f>'Raw Input'!AC7</f>
        <v>6331</v>
      </c>
      <c r="AD7" s="258">
        <f>'Raw Input'!AD7</f>
        <v>1612.5</v>
      </c>
      <c r="AE7" s="258">
        <f>'Raw Input'!AE7</f>
        <v>1702.7</v>
      </c>
      <c r="AF7" s="258">
        <f>AA7*(1+AF10)</f>
        <v>1678.56</v>
      </c>
      <c r="AG7" s="258">
        <f>AB7*(1+AG10)</f>
        <v>1513.6800000000003</v>
      </c>
      <c r="AH7" s="258">
        <f>SUM(AD7:AG7)</f>
        <v>6507.4400000000005</v>
      </c>
      <c r="AI7" s="258"/>
      <c r="AJ7" s="258"/>
    </row>
    <row r="8" spans="1:43" x14ac:dyDescent="0.25">
      <c r="B8" s="1" t="s">
        <v>2</v>
      </c>
      <c r="C8" s="30"/>
      <c r="E8" s="31"/>
      <c r="F8" s="31"/>
      <c r="G8" s="31"/>
      <c r="H8" s="31"/>
      <c r="I8" s="63">
        <f>'Raw Input'!I8</f>
        <v>806.1</v>
      </c>
      <c r="J8" s="63">
        <f>'Raw Input'!J8</f>
        <v>0</v>
      </c>
      <c r="K8" s="63">
        <f>'Raw Input'!K8</f>
        <v>0</v>
      </c>
      <c r="L8" s="63">
        <f>'Raw Input'!L8</f>
        <v>0</v>
      </c>
      <c r="M8" s="63">
        <f>'Raw Input'!M8</f>
        <v>0</v>
      </c>
      <c r="N8" s="63">
        <f>'Raw Input'!N8</f>
        <v>818.5</v>
      </c>
      <c r="O8" s="63">
        <f>'Raw Input'!O8</f>
        <v>203.5</v>
      </c>
      <c r="P8" s="63">
        <f>'Raw Input'!P8</f>
        <v>217</v>
      </c>
      <c r="Q8" s="63">
        <f>'Raw Input'!Q8</f>
        <v>217.1</v>
      </c>
      <c r="R8" s="63">
        <f>'Raw Input'!R8</f>
        <v>227.89999999999998</v>
      </c>
      <c r="S8" s="63">
        <f>'Raw Input'!S8</f>
        <v>865.5</v>
      </c>
      <c r="T8" s="63">
        <f>'Raw Input'!T8</f>
        <v>207.3</v>
      </c>
      <c r="U8" s="63">
        <f>'Raw Input'!U8</f>
        <v>218.5</v>
      </c>
      <c r="V8" s="63">
        <f>'Raw Input'!V8</f>
        <v>217.8</v>
      </c>
      <c r="W8" s="63">
        <f>'Raw Input'!W8</f>
        <v>224.40000000000003</v>
      </c>
      <c r="X8" s="63">
        <f>'Raw Input'!X8</f>
        <v>868</v>
      </c>
      <c r="Y8" s="63">
        <f>'Raw Input'!Y8</f>
        <v>216.8</v>
      </c>
      <c r="Z8" s="63">
        <f>'Raw Input'!Z8</f>
        <v>226.4</v>
      </c>
      <c r="AA8" s="63">
        <f>'Raw Input'!AA8</f>
        <v>227.8</v>
      </c>
      <c r="AB8" s="63">
        <f>'Raw Input'!AB8</f>
        <v>219.8</v>
      </c>
      <c r="AC8" s="63">
        <f>'Raw Input'!AC8</f>
        <v>890.8</v>
      </c>
      <c r="AD8" s="63">
        <f>'Raw Input'!AD8</f>
        <v>226.7</v>
      </c>
      <c r="AE8" s="63">
        <f>'Raw Input'!AE8</f>
        <v>233.8</v>
      </c>
      <c r="AF8" s="63">
        <f>AA8*(1+AF10)</f>
        <v>236.91200000000001</v>
      </c>
      <c r="AG8" s="63">
        <f>AB8*(1+AG10)</f>
        <v>230.79000000000002</v>
      </c>
      <c r="AH8" s="258">
        <f>SUM(AD8:AG8)</f>
        <v>928.202</v>
      </c>
      <c r="AI8" s="63"/>
      <c r="AJ8" s="63"/>
    </row>
    <row r="9" spans="1:43" x14ac:dyDescent="0.25">
      <c r="B9" s="3" t="s">
        <v>12</v>
      </c>
      <c r="C9" s="30"/>
      <c r="E9" s="31"/>
      <c r="F9" s="31"/>
      <c r="G9" s="31"/>
      <c r="H9" s="31"/>
      <c r="I9" s="65">
        <f>I8+I7</f>
        <v>5980.2000000000007</v>
      </c>
      <c r="J9" s="65">
        <f t="shared" ref="J9:AH9" si="0">J8+J7</f>
        <v>0</v>
      </c>
      <c r="K9" s="65">
        <f t="shared" si="0"/>
        <v>0</v>
      </c>
      <c r="L9" s="65">
        <f t="shared" si="0"/>
        <v>0</v>
      </c>
      <c r="M9" s="65">
        <f t="shared" si="0"/>
        <v>0</v>
      </c>
      <c r="N9" s="65">
        <f t="shared" si="0"/>
        <v>5870.8</v>
      </c>
      <c r="O9" s="65">
        <f t="shared" si="0"/>
        <v>1431</v>
      </c>
      <c r="P9" s="65">
        <f t="shared" si="0"/>
        <v>1544.5</v>
      </c>
      <c r="Q9" s="65">
        <f t="shared" si="0"/>
        <v>1603.1</v>
      </c>
      <c r="R9" s="65">
        <f t="shared" si="0"/>
        <v>1659.2999999999997</v>
      </c>
      <c r="S9" s="65">
        <f t="shared" si="0"/>
        <v>6237.9</v>
      </c>
      <c r="T9" s="65">
        <f t="shared" si="0"/>
        <v>1565.7</v>
      </c>
      <c r="U9" s="65">
        <f t="shared" si="0"/>
        <v>1689.9</v>
      </c>
      <c r="V9" s="65">
        <f t="shared" si="0"/>
        <v>1769.6</v>
      </c>
      <c r="W9" s="65">
        <f t="shared" si="0"/>
        <v>1779.7999999999997</v>
      </c>
      <c r="X9" s="65">
        <f t="shared" si="0"/>
        <v>6805</v>
      </c>
      <c r="Y9" s="65">
        <f t="shared" si="0"/>
        <v>1809.1</v>
      </c>
      <c r="Z9" s="65">
        <f t="shared" si="0"/>
        <v>1909.5</v>
      </c>
      <c r="AA9" s="65">
        <f t="shared" si="0"/>
        <v>1841.8</v>
      </c>
      <c r="AB9" s="65">
        <f t="shared" si="0"/>
        <v>1661.4</v>
      </c>
      <c r="AC9" s="65">
        <f t="shared" si="0"/>
        <v>7221.8</v>
      </c>
      <c r="AD9" s="65">
        <f t="shared" si="0"/>
        <v>1839.2</v>
      </c>
      <c r="AE9" s="65">
        <f t="shared" si="0"/>
        <v>1936.5</v>
      </c>
      <c r="AF9" s="65">
        <f t="shared" si="0"/>
        <v>1915.472</v>
      </c>
      <c r="AG9" s="65">
        <f t="shared" si="0"/>
        <v>1744.4700000000003</v>
      </c>
      <c r="AH9" s="65">
        <f t="shared" si="0"/>
        <v>7435.6420000000007</v>
      </c>
      <c r="AI9" s="63">
        <f>AH9*(1+AI10)</f>
        <v>7733.067680000001</v>
      </c>
      <c r="AJ9" s="63">
        <f>AI9*(1+AJ10)</f>
        <v>8119.7210640000012</v>
      </c>
    </row>
    <row r="10" spans="1:43" s="64" customFormat="1" x14ac:dyDescent="0.25">
      <c r="A10" s="64" t="s">
        <v>61</v>
      </c>
      <c r="B10" s="64" t="s">
        <v>61</v>
      </c>
      <c r="I10" s="262"/>
      <c r="J10" s="262"/>
      <c r="K10" s="262"/>
      <c r="L10" s="262"/>
      <c r="M10" s="262"/>
      <c r="N10" s="263">
        <f>N9/I9-1</f>
        <v>-1.8293702551754221E-2</v>
      </c>
      <c r="O10" s="263" t="e">
        <f t="shared" ref="O10:AH10" si="1">O9/J9-1</f>
        <v>#DIV/0!</v>
      </c>
      <c r="P10" s="263" t="e">
        <f t="shared" si="1"/>
        <v>#DIV/0!</v>
      </c>
      <c r="Q10" s="263" t="e">
        <f t="shared" si="1"/>
        <v>#DIV/0!</v>
      </c>
      <c r="R10" s="263" t="e">
        <f t="shared" si="1"/>
        <v>#DIV/0!</v>
      </c>
      <c r="S10" s="263">
        <f t="shared" si="1"/>
        <v>6.252980854398027E-2</v>
      </c>
      <c r="T10" s="263">
        <f t="shared" si="1"/>
        <v>9.4129979035639355E-2</v>
      </c>
      <c r="U10" s="263">
        <f t="shared" si="1"/>
        <v>9.4140498543217932E-2</v>
      </c>
      <c r="V10" s="263">
        <f t="shared" si="1"/>
        <v>0.10386126879171598</v>
      </c>
      <c r="W10" s="263">
        <f>W9/R9-1</f>
        <v>7.2620984752606477E-2</v>
      </c>
      <c r="X10" s="263">
        <f t="shared" si="1"/>
        <v>9.0912005642924676E-2</v>
      </c>
      <c r="Y10" s="263">
        <f t="shared" si="1"/>
        <v>0.15545762278852893</v>
      </c>
      <c r="Z10" s="263">
        <f t="shared" si="1"/>
        <v>0.12994851766376692</v>
      </c>
      <c r="AA10" s="263">
        <f t="shared" si="1"/>
        <v>4.0800180831826349E-2</v>
      </c>
      <c r="AB10" s="263">
        <f>AB9/W9-1</f>
        <v>-6.6524328576244351E-2</v>
      </c>
      <c r="AC10" s="263">
        <f t="shared" si="1"/>
        <v>6.1249081557678275E-2</v>
      </c>
      <c r="AD10" s="263">
        <f>AD9/Y9-1</f>
        <v>1.6638107346194309E-2</v>
      </c>
      <c r="AE10" s="263">
        <f>AE9/Z9-1</f>
        <v>1.4139827179890041E-2</v>
      </c>
      <c r="AF10" s="263">
        <v>0.04</v>
      </c>
      <c r="AG10" s="263">
        <v>0.05</v>
      </c>
      <c r="AH10" s="263">
        <f t="shared" si="1"/>
        <v>2.9610623390290636E-2</v>
      </c>
      <c r="AI10" s="263">
        <v>0.04</v>
      </c>
      <c r="AJ10" s="263">
        <v>0.05</v>
      </c>
    </row>
    <row r="11" spans="1:43" s="12" customFormat="1" x14ac:dyDescent="0.25">
      <c r="B11" s="4" t="s">
        <v>3</v>
      </c>
      <c r="C11" s="43"/>
      <c r="E11" s="44"/>
      <c r="F11" s="44"/>
      <c r="G11" s="44"/>
      <c r="H11" s="44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9"/>
      <c r="AJ11" s="69"/>
    </row>
    <row r="12" spans="1:43" x14ac:dyDescent="0.25">
      <c r="B12" s="1" t="s">
        <v>1</v>
      </c>
      <c r="C12" s="30"/>
      <c r="E12" s="31"/>
      <c r="F12" s="31"/>
      <c r="G12" s="31"/>
      <c r="H12" s="31"/>
      <c r="I12" s="63">
        <f>'Raw Input'!I12</f>
        <v>3701.9</v>
      </c>
      <c r="J12" s="63">
        <f>'Raw Input'!J12</f>
        <v>0</v>
      </c>
      <c r="K12" s="63">
        <f>'Raw Input'!K12</f>
        <v>0</v>
      </c>
      <c r="L12" s="63">
        <f>'Raw Input'!L12</f>
        <v>0</v>
      </c>
      <c r="M12" s="63">
        <f>'Raw Input'!M12</f>
        <v>0</v>
      </c>
      <c r="N12" s="63">
        <f>'Raw Input'!N12</f>
        <v>2968.7</v>
      </c>
      <c r="O12" s="63">
        <f>'Raw Input'!O12</f>
        <v>702.7</v>
      </c>
      <c r="P12" s="63">
        <f>'Raw Input'!P12</f>
        <v>805.1</v>
      </c>
      <c r="Q12" s="63">
        <f>'Raw Input'!Q12</f>
        <v>889.9</v>
      </c>
      <c r="R12" s="63">
        <f>'Raw Input'!R12</f>
        <v>878.60000000000014</v>
      </c>
      <c r="S12" s="63">
        <f>'Raw Input'!S12</f>
        <v>3276.3</v>
      </c>
      <c r="T12" s="63">
        <f>'Raw Input'!T12</f>
        <v>827</v>
      </c>
      <c r="U12" s="63">
        <f>'Raw Input'!U12</f>
        <v>936.3</v>
      </c>
      <c r="V12" s="63">
        <f>'Raw Input'!V12</f>
        <v>966.9</v>
      </c>
      <c r="W12" s="63">
        <f>'Raw Input'!W12</f>
        <v>925.10000000000014</v>
      </c>
      <c r="X12" s="63">
        <f>'Raw Input'!X12</f>
        <v>3655.3</v>
      </c>
      <c r="Y12" s="63">
        <f>'Raw Input'!Y12</f>
        <v>920.8</v>
      </c>
      <c r="Z12" s="63">
        <f>'Raw Input'!Z12</f>
        <v>1047.2</v>
      </c>
      <c r="AA12" s="63">
        <f>'Raw Input'!AA12</f>
        <v>1071.8</v>
      </c>
      <c r="AB12" s="63">
        <f>'Raw Input'!AB12</f>
        <v>1047.6000000000004</v>
      </c>
      <c r="AC12" s="63">
        <f>'Raw Input'!AC12</f>
        <v>4087.4</v>
      </c>
      <c r="AD12" s="63">
        <f>'Raw Input'!AD12</f>
        <v>1021.4</v>
      </c>
      <c r="AE12" s="63">
        <f>'Raw Input'!AE12</f>
        <v>1109.9000000000001</v>
      </c>
      <c r="AF12" s="258">
        <f>AA12*(1+AF15)</f>
        <v>1146.826</v>
      </c>
      <c r="AG12" s="258">
        <f>AB12*(1+AG15)</f>
        <v>1120.9320000000005</v>
      </c>
      <c r="AH12" s="258">
        <f>SUM(AD12:AG12)</f>
        <v>4399.0580000000009</v>
      </c>
      <c r="AI12" s="63"/>
      <c r="AJ12" s="63"/>
    </row>
    <row r="13" spans="1:43" x14ac:dyDescent="0.25">
      <c r="B13" s="1" t="s">
        <v>2</v>
      </c>
      <c r="C13" s="30"/>
      <c r="E13" s="31"/>
      <c r="F13" s="31"/>
      <c r="G13" s="31"/>
      <c r="H13" s="31"/>
      <c r="I13" s="63">
        <f>'Raw Input'!I13</f>
        <v>699.6</v>
      </c>
      <c r="J13" s="63">
        <f>'Raw Input'!J13</f>
        <v>0</v>
      </c>
      <c r="K13" s="63">
        <f>'Raw Input'!K13</f>
        <v>0</v>
      </c>
      <c r="L13" s="63">
        <f>'Raw Input'!L13</f>
        <v>0</v>
      </c>
      <c r="M13" s="63">
        <f>'Raw Input'!M13</f>
        <v>0</v>
      </c>
      <c r="N13" s="63">
        <f>'Raw Input'!N13</f>
        <v>584.5</v>
      </c>
      <c r="O13" s="63">
        <f>'Raw Input'!O13</f>
        <v>154.69999999999999</v>
      </c>
      <c r="P13" s="63">
        <f>'Raw Input'!P13</f>
        <v>170.9</v>
      </c>
      <c r="Q13" s="63">
        <f>'Raw Input'!Q13</f>
        <v>180.7</v>
      </c>
      <c r="R13" s="63">
        <f>'Raw Input'!R13</f>
        <v>184.2</v>
      </c>
      <c r="S13" s="63">
        <f>'Raw Input'!S13</f>
        <v>690.5</v>
      </c>
      <c r="T13" s="63">
        <f>'Raw Input'!T13</f>
        <v>182.4</v>
      </c>
      <c r="U13" s="63">
        <f>'Raw Input'!U13</f>
        <v>193</v>
      </c>
      <c r="V13" s="63">
        <f>'Raw Input'!V13</f>
        <v>199.1</v>
      </c>
      <c r="W13" s="63">
        <f>'Raw Input'!W13</f>
        <v>202.29999999999993</v>
      </c>
      <c r="X13" s="63">
        <f>'Raw Input'!X13</f>
        <v>776.8</v>
      </c>
      <c r="Y13" s="63">
        <f>'Raw Input'!Y13</f>
        <v>208</v>
      </c>
      <c r="Z13" s="63">
        <f>'Raw Input'!Z13</f>
        <v>225</v>
      </c>
      <c r="AA13" s="63">
        <f>'Raw Input'!AA13</f>
        <v>241.2</v>
      </c>
      <c r="AB13" s="63">
        <f>'Raw Input'!AB13</f>
        <v>237.59999999999991</v>
      </c>
      <c r="AC13" s="63">
        <f>'Raw Input'!AC13</f>
        <v>911.8</v>
      </c>
      <c r="AD13" s="63">
        <f>'Raw Input'!AD13</f>
        <v>245.3</v>
      </c>
      <c r="AE13" s="63">
        <f>'Raw Input'!AE13</f>
        <v>254</v>
      </c>
      <c r="AF13" s="63">
        <f>AA13*(1+AF15)</f>
        <v>258.084</v>
      </c>
      <c r="AG13" s="63">
        <f>AB13*(1+AG15)</f>
        <v>254.23199999999991</v>
      </c>
      <c r="AH13" s="258">
        <f>SUM(AD13:AG13)</f>
        <v>1011.616</v>
      </c>
      <c r="AI13" s="63"/>
      <c r="AJ13" s="63"/>
    </row>
    <row r="14" spans="1:43" x14ac:dyDescent="0.25">
      <c r="B14" s="3" t="s">
        <v>14</v>
      </c>
      <c r="C14" s="30"/>
      <c r="E14" s="31"/>
      <c r="F14" s="31"/>
      <c r="G14" s="31"/>
      <c r="H14" s="31"/>
      <c r="I14" s="65">
        <f>I13+I12</f>
        <v>4401.5</v>
      </c>
      <c r="J14" s="65">
        <f t="shared" ref="J14:AH14" si="2">J13+J12</f>
        <v>0</v>
      </c>
      <c r="K14" s="65">
        <f t="shared" si="2"/>
        <v>0</v>
      </c>
      <c r="L14" s="65">
        <f t="shared" si="2"/>
        <v>0</v>
      </c>
      <c r="M14" s="65">
        <f t="shared" si="2"/>
        <v>0</v>
      </c>
      <c r="N14" s="65">
        <f t="shared" si="2"/>
        <v>3553.2</v>
      </c>
      <c r="O14" s="65">
        <f t="shared" si="2"/>
        <v>857.40000000000009</v>
      </c>
      <c r="P14" s="65">
        <f t="shared" si="2"/>
        <v>976</v>
      </c>
      <c r="Q14" s="65">
        <f t="shared" si="2"/>
        <v>1070.5999999999999</v>
      </c>
      <c r="R14" s="65">
        <f t="shared" si="2"/>
        <v>1062.8000000000002</v>
      </c>
      <c r="S14" s="65">
        <f t="shared" si="2"/>
        <v>3966.8</v>
      </c>
      <c r="T14" s="65">
        <f t="shared" si="2"/>
        <v>1009.4</v>
      </c>
      <c r="U14" s="65">
        <f t="shared" si="2"/>
        <v>1129.3</v>
      </c>
      <c r="V14" s="65">
        <f t="shared" si="2"/>
        <v>1166</v>
      </c>
      <c r="W14" s="65">
        <f t="shared" si="2"/>
        <v>1127.4000000000001</v>
      </c>
      <c r="X14" s="65">
        <f t="shared" si="2"/>
        <v>4432.1000000000004</v>
      </c>
      <c r="Y14" s="65">
        <f t="shared" si="2"/>
        <v>1128.8</v>
      </c>
      <c r="Z14" s="65">
        <f t="shared" si="2"/>
        <v>1272.2</v>
      </c>
      <c r="AA14" s="65">
        <f t="shared" si="2"/>
        <v>1313</v>
      </c>
      <c r="AB14" s="65">
        <f t="shared" si="2"/>
        <v>1285.2000000000003</v>
      </c>
      <c r="AC14" s="65">
        <f t="shared" si="2"/>
        <v>4999.2</v>
      </c>
      <c r="AD14" s="65">
        <f t="shared" si="2"/>
        <v>1266.7</v>
      </c>
      <c r="AE14" s="65">
        <f t="shared" si="2"/>
        <v>1363.9</v>
      </c>
      <c r="AF14" s="65">
        <f t="shared" si="2"/>
        <v>1404.91</v>
      </c>
      <c r="AG14" s="65">
        <f t="shared" si="2"/>
        <v>1375.1640000000004</v>
      </c>
      <c r="AH14" s="65">
        <f t="shared" si="2"/>
        <v>5410.6740000000009</v>
      </c>
      <c r="AI14" s="63">
        <f>AH14*(1+AI15)</f>
        <v>5789.4211800000012</v>
      </c>
      <c r="AJ14" s="63">
        <f>AI14*(1+AJ15)</f>
        <v>6136.7864508000011</v>
      </c>
    </row>
    <row r="15" spans="1:43" s="12" customFormat="1" x14ac:dyDescent="0.25">
      <c r="B15" s="64" t="s">
        <v>61</v>
      </c>
      <c r="C15" s="43"/>
      <c r="E15" s="44"/>
      <c r="F15" s="44"/>
      <c r="G15" s="44"/>
      <c r="H15" s="44"/>
      <c r="I15" s="262"/>
      <c r="J15" s="262"/>
      <c r="K15" s="262"/>
      <c r="L15" s="262"/>
      <c r="M15" s="262"/>
      <c r="N15" s="263">
        <f>N14/I14-1</f>
        <v>-0.19272975122117464</v>
      </c>
      <c r="O15" s="263" t="e">
        <f t="shared" ref="O15" si="3">O14/J14-1</f>
        <v>#DIV/0!</v>
      </c>
      <c r="P15" s="263" t="e">
        <f t="shared" ref="P15" si="4">P14/K14-1</f>
        <v>#DIV/0!</v>
      </c>
      <c r="Q15" s="263" t="e">
        <f t="shared" ref="Q15" si="5">Q14/L14-1</f>
        <v>#DIV/0!</v>
      </c>
      <c r="R15" s="263" t="e">
        <f t="shared" ref="R15" si="6">R14/M14-1</f>
        <v>#DIV/0!</v>
      </c>
      <c r="S15" s="263">
        <f t="shared" ref="S15" si="7">S14/N14-1</f>
        <v>0.11640211640211651</v>
      </c>
      <c r="T15" s="263">
        <f t="shared" ref="T15" si="8">T14/O14-1</f>
        <v>0.17728014928854652</v>
      </c>
      <c r="U15" s="263">
        <f t="shared" ref="U15" si="9">U14/P14-1</f>
        <v>0.15706967213114753</v>
      </c>
      <c r="V15" s="263">
        <f t="shared" ref="V15" si="10">V14/Q14-1</f>
        <v>8.9108910891089188E-2</v>
      </c>
      <c r="W15" s="263">
        <f>W14/R14-1</f>
        <v>6.0782837786977684E-2</v>
      </c>
      <c r="X15" s="263">
        <f t="shared" ref="X15" si="11">X14/S14-1</f>
        <v>0.11729857819905209</v>
      </c>
      <c r="Y15" s="263">
        <f t="shared" ref="Y15" si="12">Y14/T14-1</f>
        <v>0.11828809193580336</v>
      </c>
      <c r="Z15" s="263">
        <f t="shared" ref="Z15" si="13">Z14/U14-1</f>
        <v>0.12653856371203398</v>
      </c>
      <c r="AA15" s="263">
        <f t="shared" ref="AA15" si="14">AA14/V14-1</f>
        <v>0.12607204116638071</v>
      </c>
      <c r="AB15" s="263">
        <f>AB14/W14-1</f>
        <v>0.13996806812134133</v>
      </c>
      <c r="AC15" s="263">
        <f t="shared" ref="AC15" si="15">AC14/X14-1</f>
        <v>0.12795288914961289</v>
      </c>
      <c r="AD15" s="263">
        <f t="shared" ref="AD15" si="16">AD14/Y14-1</f>
        <v>0.12216513111268612</v>
      </c>
      <c r="AE15" s="263">
        <f t="shared" ref="AE15" si="17">AE14/Z14-1</f>
        <v>7.2079861656972222E-2</v>
      </c>
      <c r="AF15" s="263">
        <v>7.0000000000000007E-2</v>
      </c>
      <c r="AG15" s="263">
        <v>7.0000000000000007E-2</v>
      </c>
      <c r="AH15" s="263">
        <f t="shared" ref="AH15" si="18">AH14/AC14-1</f>
        <v>8.2307969275084325E-2</v>
      </c>
      <c r="AI15" s="263">
        <v>7.0000000000000007E-2</v>
      </c>
      <c r="AJ15" s="263">
        <v>0.06</v>
      </c>
    </row>
    <row r="16" spans="1:43" s="12" customFormat="1" x14ac:dyDescent="0.25">
      <c r="B16" s="3" t="s">
        <v>4</v>
      </c>
      <c r="C16" s="43"/>
      <c r="E16" s="44"/>
      <c r="F16" s="44"/>
      <c r="G16" s="44"/>
      <c r="H16" s="44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3"/>
      <c r="AJ16" s="63"/>
    </row>
    <row r="17" spans="2:36" s="12" customFormat="1" x14ac:dyDescent="0.25">
      <c r="B17" s="1" t="s">
        <v>1</v>
      </c>
      <c r="C17" s="43"/>
      <c r="E17" s="44"/>
      <c r="F17" s="44"/>
      <c r="G17" s="44"/>
      <c r="H17" s="44"/>
      <c r="I17" s="69">
        <f>'Raw Input'!I17</f>
        <v>890.6</v>
      </c>
      <c r="J17" s="69">
        <f>'Raw Input'!J17</f>
        <v>0</v>
      </c>
      <c r="K17" s="69">
        <f>'Raw Input'!K17</f>
        <v>0</v>
      </c>
      <c r="L17" s="69">
        <f>'Raw Input'!L17</f>
        <v>0</v>
      </c>
      <c r="M17" s="69">
        <f>'Raw Input'!M17</f>
        <v>0</v>
      </c>
      <c r="N17" s="69">
        <f>'Raw Input'!N17</f>
        <v>1071.4000000000001</v>
      </c>
      <c r="O17" s="69">
        <f>'Raw Input'!O17</f>
        <v>263.10000000000002</v>
      </c>
      <c r="P17" s="69">
        <f>'Raw Input'!P17</f>
        <v>272.89999999999998</v>
      </c>
      <c r="Q17" s="69">
        <f>'Raw Input'!Q17</f>
        <v>259.39999999999998</v>
      </c>
      <c r="R17" s="69">
        <f>'Raw Input'!R17</f>
        <v>273.39999999999998</v>
      </c>
      <c r="S17" s="69">
        <f>'Raw Input'!S17</f>
        <v>1068.8</v>
      </c>
      <c r="T17" s="69">
        <f>'Raw Input'!T17</f>
        <v>334</v>
      </c>
      <c r="U17" s="69">
        <f>'Raw Input'!U17</f>
        <v>360.2</v>
      </c>
      <c r="V17" s="69">
        <f>'Raw Input'!V17</f>
        <v>329.5</v>
      </c>
      <c r="W17" s="69">
        <f>'Raw Input'!W17</f>
        <v>374.59999999999991</v>
      </c>
      <c r="X17" s="69">
        <f>'Raw Input'!X17</f>
        <v>1398.3</v>
      </c>
      <c r="Y17" s="69">
        <f>'Raw Input'!Y17</f>
        <v>352.6</v>
      </c>
      <c r="Z17" s="69">
        <f>'Raw Input'!Z17</f>
        <v>363.9</v>
      </c>
      <c r="AA17" s="69">
        <f>'Raw Input'!AA17</f>
        <v>378.5</v>
      </c>
      <c r="AB17" s="69">
        <f>'Raw Input'!AB17</f>
        <v>381.29999999999995</v>
      </c>
      <c r="AC17" s="69">
        <f>'Raw Input'!AC17</f>
        <v>1476.3</v>
      </c>
      <c r="AD17" s="69">
        <f>'Raw Input'!AD17</f>
        <v>352.6</v>
      </c>
      <c r="AE17" s="69">
        <f>'Raw Input'!AE17</f>
        <v>360.5</v>
      </c>
      <c r="AF17" s="258">
        <f>AA17*(1+AF20)</f>
        <v>382.28500000000003</v>
      </c>
      <c r="AG17" s="258">
        <f>AB17*(1+AG20)</f>
        <v>388.92599999999999</v>
      </c>
      <c r="AH17" s="258">
        <f>SUM(AD17:AG17)</f>
        <v>1484.3109999999999</v>
      </c>
      <c r="AI17" s="63"/>
      <c r="AJ17" s="63"/>
    </row>
    <row r="18" spans="2:36" s="12" customFormat="1" x14ac:dyDescent="0.25">
      <c r="B18" s="1" t="s">
        <v>2</v>
      </c>
      <c r="C18" s="43"/>
      <c r="E18" s="44"/>
      <c r="F18" s="44"/>
      <c r="G18" s="44"/>
      <c r="H18" s="44"/>
      <c r="I18" s="69">
        <f>'Raw Input'!I18</f>
        <v>82.2</v>
      </c>
      <c r="J18" s="69">
        <f>'Raw Input'!J18</f>
        <v>0</v>
      </c>
      <c r="K18" s="69">
        <f>'Raw Input'!K18</f>
        <v>0</v>
      </c>
      <c r="L18" s="69">
        <f>'Raw Input'!L18</f>
        <v>0</v>
      </c>
      <c r="M18" s="69">
        <f>'Raw Input'!M18</f>
        <v>0</v>
      </c>
      <c r="N18" s="69">
        <f>'Raw Input'!N18</f>
        <v>110.5</v>
      </c>
      <c r="O18" s="69">
        <f>'Raw Input'!O18</f>
        <v>29.6</v>
      </c>
      <c r="P18" s="69">
        <f>'Raw Input'!P18</f>
        <v>28.9</v>
      </c>
      <c r="Q18" s="69">
        <f>'Raw Input'!Q18</f>
        <v>27.5</v>
      </c>
      <c r="R18" s="69">
        <f>'Raw Input'!R18</f>
        <v>26.799999999999997</v>
      </c>
      <c r="S18" s="69">
        <f>'Raw Input'!S18</f>
        <v>112.8</v>
      </c>
      <c r="T18" s="69">
        <f>'Raw Input'!T18</f>
        <v>28.8</v>
      </c>
      <c r="U18" s="69">
        <f>'Raw Input'!U18</f>
        <v>30.7</v>
      </c>
      <c r="V18" s="69">
        <f>'Raw Input'!V18</f>
        <v>27.1</v>
      </c>
      <c r="W18" s="69">
        <f>'Raw Input'!W18</f>
        <v>25.599999999999991</v>
      </c>
      <c r="X18" s="69">
        <f>'Raw Input'!X18</f>
        <v>112.2</v>
      </c>
      <c r="Y18" s="69">
        <f>'Raw Input'!Y18</f>
        <v>27.1</v>
      </c>
      <c r="Z18" s="69">
        <f>'Raw Input'!Z18</f>
        <v>26.9</v>
      </c>
      <c r="AA18" s="69">
        <f>'Raw Input'!AA18</f>
        <v>27.7</v>
      </c>
      <c r="AB18" s="69">
        <f>'Raw Input'!AB18</f>
        <v>28</v>
      </c>
      <c r="AC18" s="69">
        <f>'Raw Input'!AC18</f>
        <v>109.7</v>
      </c>
      <c r="AD18" s="69">
        <f>'Raw Input'!AD18</f>
        <v>27.3</v>
      </c>
      <c r="AE18" s="69">
        <f>'Raw Input'!AE18</f>
        <v>29.2</v>
      </c>
      <c r="AF18" s="63">
        <f>AA18*(1+AF20)</f>
        <v>27.977</v>
      </c>
      <c r="AG18" s="63">
        <f>AB18*(1+AG20)</f>
        <v>28.560000000000002</v>
      </c>
      <c r="AH18" s="258">
        <f>SUM(AD18:AG18)</f>
        <v>113.03700000000001</v>
      </c>
      <c r="AI18" s="63"/>
      <c r="AJ18" s="63"/>
    </row>
    <row r="19" spans="2:36" s="12" customFormat="1" x14ac:dyDescent="0.25">
      <c r="B19" s="3" t="s">
        <v>15</v>
      </c>
      <c r="C19" s="43"/>
      <c r="E19" s="44"/>
      <c r="F19" s="44"/>
      <c r="G19" s="44"/>
      <c r="H19" s="44"/>
      <c r="I19" s="65">
        <f>I18+I17</f>
        <v>972.80000000000007</v>
      </c>
      <c r="J19" s="65">
        <f t="shared" ref="J19:AG19" si="19">J18+J17</f>
        <v>0</v>
      </c>
      <c r="K19" s="65">
        <f t="shared" si="19"/>
        <v>0</v>
      </c>
      <c r="L19" s="65">
        <f t="shared" si="19"/>
        <v>0</v>
      </c>
      <c r="M19" s="65">
        <f t="shared" si="19"/>
        <v>0</v>
      </c>
      <c r="N19" s="65">
        <f t="shared" si="19"/>
        <v>1181.9000000000001</v>
      </c>
      <c r="O19" s="65">
        <f t="shared" si="19"/>
        <v>292.70000000000005</v>
      </c>
      <c r="P19" s="65">
        <f t="shared" si="19"/>
        <v>301.79999999999995</v>
      </c>
      <c r="Q19" s="65">
        <f t="shared" si="19"/>
        <v>286.89999999999998</v>
      </c>
      <c r="R19" s="65">
        <f t="shared" si="19"/>
        <v>300.2</v>
      </c>
      <c r="S19" s="65">
        <f t="shared" si="19"/>
        <v>1181.5999999999999</v>
      </c>
      <c r="T19" s="65">
        <f t="shared" si="19"/>
        <v>362.8</v>
      </c>
      <c r="U19" s="65">
        <f t="shared" si="19"/>
        <v>390.9</v>
      </c>
      <c r="V19" s="65">
        <f t="shared" si="19"/>
        <v>356.6</v>
      </c>
      <c r="W19" s="65">
        <f t="shared" si="19"/>
        <v>400.19999999999987</v>
      </c>
      <c r="X19" s="65">
        <f t="shared" si="19"/>
        <v>1510.5</v>
      </c>
      <c r="Y19" s="65">
        <f t="shared" si="19"/>
        <v>379.70000000000005</v>
      </c>
      <c r="Z19" s="65">
        <f t="shared" si="19"/>
        <v>390.79999999999995</v>
      </c>
      <c r="AA19" s="65">
        <f t="shared" si="19"/>
        <v>406.2</v>
      </c>
      <c r="AB19" s="65">
        <f t="shared" si="19"/>
        <v>409.29999999999995</v>
      </c>
      <c r="AC19" s="65">
        <f t="shared" si="19"/>
        <v>1586</v>
      </c>
      <c r="AD19" s="65">
        <f t="shared" si="19"/>
        <v>379.90000000000003</v>
      </c>
      <c r="AE19" s="65">
        <f t="shared" si="19"/>
        <v>389.7</v>
      </c>
      <c r="AF19" s="65">
        <f t="shared" si="19"/>
        <v>410.262</v>
      </c>
      <c r="AG19" s="65">
        <f t="shared" si="19"/>
        <v>417.48599999999999</v>
      </c>
      <c r="AH19" s="65">
        <f>AH18+AH17</f>
        <v>1597.348</v>
      </c>
      <c r="AI19" s="63">
        <f>AH19*(1+AI20)</f>
        <v>1629.2949599999999</v>
      </c>
      <c r="AJ19" s="63">
        <f>AI19*(1+AJ20)</f>
        <v>1678.1738088</v>
      </c>
    </row>
    <row r="20" spans="2:36" s="12" customFormat="1" x14ac:dyDescent="0.25">
      <c r="B20" s="64" t="s">
        <v>61</v>
      </c>
      <c r="C20" s="43"/>
      <c r="E20" s="44"/>
      <c r="F20" s="44"/>
      <c r="G20" s="44"/>
      <c r="H20" s="44"/>
      <c r="I20" s="262"/>
      <c r="J20" s="262"/>
      <c r="K20" s="262"/>
      <c r="L20" s="262"/>
      <c r="M20" s="262"/>
      <c r="N20" s="263">
        <f>N19/I19-1</f>
        <v>0.21494654605263164</v>
      </c>
      <c r="O20" s="263" t="e">
        <f t="shared" ref="O20" si="20">O19/J19-1</f>
        <v>#DIV/0!</v>
      </c>
      <c r="P20" s="263" t="e">
        <f t="shared" ref="P20" si="21">P19/K19-1</f>
        <v>#DIV/0!</v>
      </c>
      <c r="Q20" s="263" t="e">
        <f t="shared" ref="Q20" si="22">Q19/L19-1</f>
        <v>#DIV/0!</v>
      </c>
      <c r="R20" s="263" t="e">
        <f t="shared" ref="R20" si="23">R19/M19-1</f>
        <v>#DIV/0!</v>
      </c>
      <c r="S20" s="263">
        <f t="shared" ref="S20" si="24">S19/N19-1</f>
        <v>-2.5382858109834761E-4</v>
      </c>
      <c r="T20" s="263">
        <f t="shared" ref="T20" si="25">T19/O19-1</f>
        <v>0.23949436282883485</v>
      </c>
      <c r="U20" s="263">
        <f t="shared" ref="U20" si="26">U19/P19-1</f>
        <v>0.29522862823061646</v>
      </c>
      <c r="V20" s="263">
        <f t="shared" ref="V20" si="27">V19/Q19-1</f>
        <v>0.24294179156500539</v>
      </c>
      <c r="W20" s="263">
        <f>W19/R19-1</f>
        <v>0.33311125916055917</v>
      </c>
      <c r="X20" s="263">
        <f t="shared" ref="X20" si="28">X19/S19-1</f>
        <v>0.27835138794854442</v>
      </c>
      <c r="Y20" s="263">
        <f t="shared" ref="Y20" si="29">Y19/T19-1</f>
        <v>4.6582138919514904E-2</v>
      </c>
      <c r="Z20" s="263">
        <f t="shared" ref="Z20" si="30">Z19/U19-1</f>
        <v>-2.5581990278844557E-4</v>
      </c>
      <c r="AA20" s="263">
        <f t="shared" ref="AA20" si="31">AA19/V19-1</f>
        <v>0.13909141895681421</v>
      </c>
      <c r="AB20" s="263">
        <f>AB19/W19-1</f>
        <v>2.2738630684657979E-2</v>
      </c>
      <c r="AC20" s="263">
        <f t="shared" ref="AC20" si="32">AC19/X19-1</f>
        <v>4.9983449189010321E-2</v>
      </c>
      <c r="AD20" s="263">
        <f t="shared" ref="AD20" si="33">AD19/Y19-1</f>
        <v>5.2673163023442271E-4</v>
      </c>
      <c r="AE20" s="263">
        <f t="shared" ref="AE20" si="34">AE19/Z19-1</f>
        <v>-2.8147389969293002E-3</v>
      </c>
      <c r="AF20" s="263">
        <v>0.01</v>
      </c>
      <c r="AG20" s="263">
        <v>0.02</v>
      </c>
      <c r="AH20" s="263">
        <f t="shared" ref="AH20" si="35">AH19/AC19-1</f>
        <v>7.1551071878941386E-3</v>
      </c>
      <c r="AI20" s="263">
        <v>0.02</v>
      </c>
      <c r="AJ20" s="263">
        <v>0.03</v>
      </c>
    </row>
    <row r="21" spans="2:36" s="12" customFormat="1" x14ac:dyDescent="0.25">
      <c r="B21" s="3" t="s">
        <v>5</v>
      </c>
      <c r="C21" s="43"/>
      <c r="E21" s="44"/>
      <c r="F21" s="44"/>
      <c r="G21" s="44"/>
      <c r="H21" s="44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3"/>
      <c r="AJ21" s="63"/>
    </row>
    <row r="22" spans="2:36" s="12" customFormat="1" x14ac:dyDescent="0.25">
      <c r="B22" s="1" t="s">
        <v>1</v>
      </c>
      <c r="C22" s="43"/>
      <c r="E22" s="44"/>
      <c r="F22" s="44"/>
      <c r="G22" s="44"/>
      <c r="H22" s="44"/>
      <c r="I22" s="69">
        <f>'Raw Input'!I22</f>
        <v>362.4</v>
      </c>
      <c r="J22" s="69">
        <f>'Raw Input'!J22</f>
        <v>0</v>
      </c>
      <c r="K22" s="69">
        <f>'Raw Input'!K22</f>
        <v>0</v>
      </c>
      <c r="L22" s="69">
        <f>'Raw Input'!L22</f>
        <v>0</v>
      </c>
      <c r="M22" s="69">
        <f>'Raw Input'!M22</f>
        <v>0</v>
      </c>
      <c r="N22" s="69">
        <f>'Raw Input'!N22</f>
        <v>274.5</v>
      </c>
      <c r="O22" s="69">
        <f>'Raw Input'!O22</f>
        <v>67.099999999999994</v>
      </c>
      <c r="P22" s="69">
        <f>'Raw Input'!P22</f>
        <v>74.2</v>
      </c>
      <c r="Q22" s="69">
        <f>'Raw Input'!Q22</f>
        <v>82.7</v>
      </c>
      <c r="R22" s="69">
        <f>'Raw Input'!R22</f>
        <v>73.900000000000006</v>
      </c>
      <c r="S22" s="69">
        <f>'Raw Input'!S22</f>
        <v>297.89999999999998</v>
      </c>
      <c r="T22" s="69">
        <f>'Raw Input'!T22</f>
        <v>70</v>
      </c>
      <c r="U22" s="69">
        <f>'Raw Input'!U22</f>
        <v>85</v>
      </c>
      <c r="V22" s="69">
        <f>'Raw Input'!V22</f>
        <v>87.1</v>
      </c>
      <c r="W22" s="69">
        <f>'Raw Input'!W22</f>
        <v>89.799999999999983</v>
      </c>
      <c r="X22" s="69">
        <f>'Raw Input'!X22</f>
        <v>331.9</v>
      </c>
      <c r="Y22" s="69">
        <f>'Raw Input'!Y22</f>
        <v>0</v>
      </c>
      <c r="Z22" s="69">
        <f>'Raw Input'!Z22</f>
        <v>0</v>
      </c>
      <c r="AA22" s="69">
        <f>'Raw Input'!AA22</f>
        <v>91.6</v>
      </c>
      <c r="AB22" s="69">
        <f>'Raw Input'!AB22</f>
        <v>261.5</v>
      </c>
      <c r="AC22" s="69">
        <f>'Raw Input'!AC22</f>
        <v>353.1</v>
      </c>
      <c r="AD22" s="69">
        <f>'Raw Input'!AD22</f>
        <v>0</v>
      </c>
      <c r="AE22" s="69">
        <f>'Raw Input'!AE22</f>
        <v>0</v>
      </c>
      <c r="AF22" s="258">
        <v>0</v>
      </c>
      <c r="AG22" s="258">
        <v>0</v>
      </c>
      <c r="AH22" s="258">
        <f>SUM(AD22:AG22)</f>
        <v>0</v>
      </c>
      <c r="AI22" s="63"/>
      <c r="AJ22" s="63"/>
    </row>
    <row r="23" spans="2:36" s="12" customFormat="1" x14ac:dyDescent="0.25">
      <c r="B23" s="1" t="s">
        <v>2</v>
      </c>
      <c r="C23" s="43"/>
      <c r="E23" s="44"/>
      <c r="F23" s="44"/>
      <c r="G23" s="44"/>
      <c r="H23" s="44"/>
      <c r="I23" s="69">
        <f>'Raw Input'!I23</f>
        <v>845.1</v>
      </c>
      <c r="J23" s="69">
        <f>'Raw Input'!J23</f>
        <v>0</v>
      </c>
      <c r="K23" s="69">
        <f>'Raw Input'!K23</f>
        <v>0</v>
      </c>
      <c r="L23" s="69">
        <f>'Raw Input'!L23</f>
        <v>0</v>
      </c>
      <c r="M23" s="69">
        <f>'Raw Input'!M23</f>
        <v>0</v>
      </c>
      <c r="N23" s="69">
        <f>'Raw Input'!N23</f>
        <v>809.8</v>
      </c>
      <c r="O23" s="69">
        <f>'Raw Input'!O23</f>
        <v>203.6</v>
      </c>
      <c r="P23" s="69">
        <f>'Raw Input'!P23</f>
        <v>231.3</v>
      </c>
      <c r="Q23" s="69">
        <f>'Raw Input'!Q23</f>
        <v>241.5</v>
      </c>
      <c r="R23" s="69">
        <f>'Raw Input'!R23</f>
        <v>233.39999999999995</v>
      </c>
      <c r="S23" s="69">
        <f>'Raw Input'!S23</f>
        <v>909.8</v>
      </c>
      <c r="T23" s="69">
        <f>'Raw Input'!T23</f>
        <v>224</v>
      </c>
      <c r="U23" s="69">
        <f>'Raw Input'!U23</f>
        <v>251.6</v>
      </c>
      <c r="V23" s="69">
        <f>'Raw Input'!V23</f>
        <v>262.3</v>
      </c>
      <c r="W23" s="69">
        <f>'Raw Input'!W23</f>
        <v>246.60000000000002</v>
      </c>
      <c r="X23" s="69">
        <f>'Raw Input'!X23</f>
        <v>984.5</v>
      </c>
      <c r="Y23" s="69">
        <f>'Raw Input'!Y23</f>
        <v>243.4</v>
      </c>
      <c r="Z23" s="69">
        <f>'Raw Input'!Z23</f>
        <v>269</v>
      </c>
      <c r="AA23" s="69">
        <f>'Raw Input'!AA23</f>
        <v>290.5</v>
      </c>
      <c r="AB23" s="69">
        <f>'Raw Input'!AB23</f>
        <v>288.19999999999993</v>
      </c>
      <c r="AC23" s="69">
        <f>'Raw Input'!AC23</f>
        <v>1091.0999999999999</v>
      </c>
      <c r="AD23" s="69">
        <f>'Raw Input'!AD23</f>
        <v>266.10000000000002</v>
      </c>
      <c r="AE23" s="69">
        <f>'Raw Input'!AE23</f>
        <v>295.7</v>
      </c>
      <c r="AF23" s="63">
        <f>AA23*(1+AF25)</f>
        <v>316.64500000000004</v>
      </c>
      <c r="AG23" s="63">
        <f>AB23*(1+AG25)</f>
        <v>317.01999999999992</v>
      </c>
      <c r="AH23" s="258">
        <f>SUM(AD23:AG23)</f>
        <v>1195.4649999999999</v>
      </c>
      <c r="AI23" s="63"/>
      <c r="AJ23" s="63"/>
    </row>
    <row r="24" spans="2:36" s="12" customFormat="1" x14ac:dyDescent="0.25">
      <c r="B24" s="3" t="s">
        <v>16</v>
      </c>
      <c r="C24" s="43"/>
      <c r="E24" s="44"/>
      <c r="F24" s="44"/>
      <c r="G24" s="44"/>
      <c r="H24" s="44"/>
      <c r="I24" s="65">
        <f>I23+I22</f>
        <v>1207.5</v>
      </c>
      <c r="J24" s="65">
        <f t="shared" ref="J24:AH24" si="36">J23+J22</f>
        <v>0</v>
      </c>
      <c r="K24" s="65">
        <f t="shared" si="36"/>
        <v>0</v>
      </c>
      <c r="L24" s="65">
        <f t="shared" si="36"/>
        <v>0</v>
      </c>
      <c r="M24" s="65">
        <f t="shared" si="36"/>
        <v>0</v>
      </c>
      <c r="N24" s="65">
        <f t="shared" si="36"/>
        <v>1084.3</v>
      </c>
      <c r="O24" s="65">
        <f t="shared" si="36"/>
        <v>270.7</v>
      </c>
      <c r="P24" s="65">
        <f t="shared" si="36"/>
        <v>305.5</v>
      </c>
      <c r="Q24" s="65">
        <f t="shared" si="36"/>
        <v>324.2</v>
      </c>
      <c r="R24" s="65">
        <f t="shared" si="36"/>
        <v>307.29999999999995</v>
      </c>
      <c r="S24" s="65">
        <f t="shared" si="36"/>
        <v>1207.6999999999998</v>
      </c>
      <c r="T24" s="65">
        <f t="shared" si="36"/>
        <v>294</v>
      </c>
      <c r="U24" s="65">
        <f t="shared" si="36"/>
        <v>336.6</v>
      </c>
      <c r="V24" s="65">
        <f t="shared" si="36"/>
        <v>349.4</v>
      </c>
      <c r="W24" s="65">
        <f t="shared" si="36"/>
        <v>336.4</v>
      </c>
      <c r="X24" s="65">
        <f t="shared" si="36"/>
        <v>1316.4</v>
      </c>
      <c r="Y24" s="65">
        <f t="shared" si="36"/>
        <v>243.4</v>
      </c>
      <c r="Z24" s="65">
        <f t="shared" si="36"/>
        <v>269</v>
      </c>
      <c r="AA24" s="65">
        <f t="shared" si="36"/>
        <v>382.1</v>
      </c>
      <c r="AB24" s="65">
        <f t="shared" si="36"/>
        <v>549.69999999999993</v>
      </c>
      <c r="AC24" s="65">
        <f t="shared" si="36"/>
        <v>1444.1999999999998</v>
      </c>
      <c r="AD24" s="65">
        <f t="shared" si="36"/>
        <v>266.10000000000002</v>
      </c>
      <c r="AE24" s="65">
        <f t="shared" si="36"/>
        <v>295.7</v>
      </c>
      <c r="AF24" s="65">
        <f t="shared" si="36"/>
        <v>316.64500000000004</v>
      </c>
      <c r="AG24" s="65">
        <f t="shared" si="36"/>
        <v>317.01999999999992</v>
      </c>
      <c r="AH24" s="65">
        <f t="shared" si="36"/>
        <v>1195.4649999999999</v>
      </c>
      <c r="AI24" s="63">
        <f>AH24*(1+AI25)</f>
        <v>1291.1022</v>
      </c>
      <c r="AJ24" s="63">
        <f>AI24*(1+AJ25)</f>
        <v>1381.4793540000001</v>
      </c>
    </row>
    <row r="25" spans="2:36" s="12" customFormat="1" x14ac:dyDescent="0.25">
      <c r="B25" s="64" t="s">
        <v>61</v>
      </c>
      <c r="C25" s="43"/>
      <c r="E25" s="44"/>
      <c r="F25" s="44"/>
      <c r="G25" s="44"/>
      <c r="H25" s="44"/>
      <c r="I25" s="262"/>
      <c r="J25" s="262"/>
      <c r="K25" s="262"/>
      <c r="L25" s="262"/>
      <c r="M25" s="262"/>
      <c r="N25" s="263">
        <f>N24/I24-1</f>
        <v>-0.10202898550724637</v>
      </c>
      <c r="O25" s="263" t="e">
        <f t="shared" ref="O25" si="37">O24/J24-1</f>
        <v>#DIV/0!</v>
      </c>
      <c r="P25" s="263" t="e">
        <f t="shared" ref="P25" si="38">P24/K24-1</f>
        <v>#DIV/0!</v>
      </c>
      <c r="Q25" s="263" t="e">
        <f t="shared" ref="Q25" si="39">Q24/L24-1</f>
        <v>#DIV/0!</v>
      </c>
      <c r="R25" s="263" t="e">
        <f t="shared" ref="R25" si="40">R24/M24-1</f>
        <v>#DIV/0!</v>
      </c>
      <c r="S25" s="263">
        <f t="shared" ref="S25" si="41">S24/N24-1</f>
        <v>0.11380614221156504</v>
      </c>
      <c r="T25" s="263">
        <f t="shared" ref="T25" si="42">T24/O24-1</f>
        <v>8.6073143701514532E-2</v>
      </c>
      <c r="U25" s="263">
        <f t="shared" ref="U25" si="43">U24/P24-1</f>
        <v>0.10180032733224231</v>
      </c>
      <c r="V25" s="263">
        <f t="shared" ref="V25" si="44">V24/Q24-1</f>
        <v>7.772979642196165E-2</v>
      </c>
      <c r="W25" s="263">
        <f>W24/R24-1</f>
        <v>9.4695737064757646E-2</v>
      </c>
      <c r="X25" s="263">
        <f t="shared" ref="X25" si="45">X24/S24-1</f>
        <v>9.0005796141426009E-2</v>
      </c>
      <c r="Y25" s="263">
        <f t="shared" ref="Y25" si="46">Y24/T24-1</f>
        <v>-0.17210884353741496</v>
      </c>
      <c r="Z25" s="263">
        <f t="shared" ref="Z25" si="47">Z24/U24-1</f>
        <v>-0.20083184789067143</v>
      </c>
      <c r="AA25" s="263">
        <f t="shared" ref="AA25" si="48">AA24/V24-1</f>
        <v>9.358900973096751E-2</v>
      </c>
      <c r="AB25" s="263">
        <f>AB24/W24-1</f>
        <v>0.634066587395957</v>
      </c>
      <c r="AC25" s="263">
        <f t="shared" ref="AC25" si="49">AC24/X24-1</f>
        <v>9.7082953509571412E-2</v>
      </c>
      <c r="AD25" s="263">
        <f t="shared" ref="AD25" si="50">AD24/Y24-1</f>
        <v>9.3262119967132406E-2</v>
      </c>
      <c r="AE25" s="263">
        <f t="shared" ref="AE25" si="51">AE24/Z24-1</f>
        <v>9.9256505576208243E-2</v>
      </c>
      <c r="AF25" s="263">
        <v>0.09</v>
      </c>
      <c r="AG25" s="263">
        <v>0.1</v>
      </c>
      <c r="AH25" s="263">
        <f t="shared" ref="AH25" si="52">AH24/AC24-1</f>
        <v>-0.17223030051239441</v>
      </c>
      <c r="AI25" s="263">
        <v>0.08</v>
      </c>
      <c r="AJ25" s="263">
        <v>7.0000000000000007E-2</v>
      </c>
    </row>
    <row r="26" spans="2:36" s="12" customFormat="1" x14ac:dyDescent="0.25">
      <c r="B26" s="3" t="s">
        <v>6</v>
      </c>
      <c r="C26" s="43"/>
      <c r="E26" s="44"/>
      <c r="F26" s="44"/>
      <c r="G26" s="44"/>
      <c r="H26" s="44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3"/>
      <c r="AJ26" s="63"/>
    </row>
    <row r="27" spans="2:36" x14ac:dyDescent="0.25">
      <c r="B27" s="1" t="s">
        <v>1</v>
      </c>
      <c r="C27" s="30"/>
      <c r="E27" s="31"/>
      <c r="F27" s="31"/>
      <c r="G27" s="31"/>
      <c r="H27" s="31"/>
      <c r="I27" s="65">
        <f>'Raw Input'!I27</f>
        <v>0</v>
      </c>
      <c r="J27" s="65">
        <f>'Raw Input'!J27</f>
        <v>0</v>
      </c>
      <c r="K27" s="65">
        <f>'Raw Input'!K27</f>
        <v>0</v>
      </c>
      <c r="L27" s="65">
        <f>'Raw Input'!L27</f>
        <v>0</v>
      </c>
      <c r="M27" s="65">
        <f>'Raw Input'!M27</f>
        <v>0</v>
      </c>
      <c r="N27" s="65">
        <f>'Raw Input'!N27</f>
        <v>99.7</v>
      </c>
      <c r="O27" s="65">
        <f>'Raw Input'!O27</f>
        <v>33</v>
      </c>
      <c r="P27" s="65">
        <f>'Raw Input'!P27</f>
        <v>34.700000000000003</v>
      </c>
      <c r="Q27" s="65">
        <f>'Raw Input'!Q27</f>
        <v>35.799999999999997</v>
      </c>
      <c r="R27" s="65">
        <f>'Raw Input'!R27</f>
        <v>34.400000000000006</v>
      </c>
      <c r="S27" s="65">
        <f>'Raw Input'!S27</f>
        <v>137.9</v>
      </c>
      <c r="T27" s="65">
        <f>'Raw Input'!T27</f>
        <v>34.700000000000003</v>
      </c>
      <c r="U27" s="65">
        <f>'Raw Input'!U27</f>
        <v>33.9</v>
      </c>
      <c r="V27" s="65">
        <f>'Raw Input'!V27</f>
        <v>27.7</v>
      </c>
      <c r="W27" s="65">
        <f>'Raw Input'!W27</f>
        <v>27.4</v>
      </c>
      <c r="X27" s="65">
        <f>'Raw Input'!X27</f>
        <v>123.7</v>
      </c>
      <c r="Y27" s="65">
        <f>'Raw Input'!Y27</f>
        <v>10.6</v>
      </c>
      <c r="Z27" s="65">
        <f>'Raw Input'!Z27</f>
        <v>10.6</v>
      </c>
      <c r="AA27" s="65">
        <f>'Raw Input'!AA27</f>
        <v>15</v>
      </c>
      <c r="AB27" s="65">
        <f>'Raw Input'!AB27</f>
        <v>32.799999999999997</v>
      </c>
      <c r="AC27" s="65">
        <f>'Raw Input'!AC27</f>
        <v>69</v>
      </c>
      <c r="AD27" s="65">
        <f>'Raw Input'!AD27</f>
        <v>0</v>
      </c>
      <c r="AE27" s="65">
        <f>'Raw Input'!AE27</f>
        <v>0</v>
      </c>
      <c r="AF27" s="65">
        <f>'Raw Input'!AF27</f>
        <v>0</v>
      </c>
      <c r="AG27" s="65">
        <f>'Raw Input'!AG27</f>
        <v>0</v>
      </c>
      <c r="AH27" s="65">
        <f>'Raw Input'!AH27</f>
        <v>0</v>
      </c>
      <c r="AI27" s="63"/>
      <c r="AJ27" s="63"/>
    </row>
    <row r="28" spans="2:36" x14ac:dyDescent="0.25">
      <c r="B28" s="1" t="s">
        <v>2</v>
      </c>
      <c r="C28" s="30"/>
      <c r="E28" s="31"/>
      <c r="F28" s="31"/>
      <c r="G28" s="31"/>
      <c r="H28" s="31"/>
      <c r="I28" s="63">
        <f>'Raw Input'!I28</f>
        <v>0</v>
      </c>
      <c r="J28" s="63">
        <f>'Raw Input'!J28</f>
        <v>0</v>
      </c>
      <c r="K28" s="63">
        <f>'Raw Input'!K28</f>
        <v>0</v>
      </c>
      <c r="L28" s="63">
        <f>'Raw Input'!L28</f>
        <v>0</v>
      </c>
      <c r="M28" s="63">
        <f>'Raw Input'!M28</f>
        <v>0</v>
      </c>
      <c r="N28" s="63">
        <f>'Raw Input'!N28</f>
        <v>0.3</v>
      </c>
      <c r="O28" s="63">
        <f>'Raw Input'!O28</f>
        <v>0.2</v>
      </c>
      <c r="P28" s="63">
        <f>'Raw Input'!P28</f>
        <v>0</v>
      </c>
      <c r="Q28" s="63">
        <f>'Raw Input'!Q28</f>
        <v>0.2</v>
      </c>
      <c r="R28" s="63">
        <f>'Raw Input'!R28</f>
        <v>0.8</v>
      </c>
      <c r="S28" s="63">
        <f>'Raw Input'!S28</f>
        <v>1.2</v>
      </c>
      <c r="T28" s="63">
        <f>'Raw Input'!T28</f>
        <v>0.1</v>
      </c>
      <c r="U28" s="63">
        <f>'Raw Input'!U28</f>
        <v>0</v>
      </c>
      <c r="V28" s="63">
        <f>'Raw Input'!V28</f>
        <v>0</v>
      </c>
      <c r="W28" s="63">
        <f>'Raw Input'!W28</f>
        <v>0</v>
      </c>
      <c r="X28" s="63">
        <f>'Raw Input'!X28</f>
        <v>0.1</v>
      </c>
      <c r="Y28" s="63">
        <f>'Raw Input'!Y28</f>
        <v>0</v>
      </c>
      <c r="Z28" s="63">
        <f>'Raw Input'!Z28</f>
        <v>0</v>
      </c>
      <c r="AA28" s="63">
        <f>'Raw Input'!AA28</f>
        <v>0</v>
      </c>
      <c r="AB28" s="63">
        <f>'Raw Input'!AB28</f>
        <v>0</v>
      </c>
      <c r="AC28" s="63">
        <f>'Raw Input'!AC28</f>
        <v>0</v>
      </c>
      <c r="AD28" s="63">
        <f>'Raw Input'!AD28</f>
        <v>0</v>
      </c>
      <c r="AE28" s="63">
        <f>'Raw Input'!AE28</f>
        <v>0</v>
      </c>
      <c r="AF28" s="63">
        <f>'Raw Input'!AF28</f>
        <v>0</v>
      </c>
      <c r="AG28" s="63">
        <f>'Raw Input'!AG28</f>
        <v>0</v>
      </c>
      <c r="AH28" s="63">
        <f>'Raw Input'!AH28</f>
        <v>0</v>
      </c>
      <c r="AI28" s="63"/>
      <c r="AJ28" s="63"/>
    </row>
    <row r="29" spans="2:36" x14ac:dyDescent="0.25">
      <c r="B29" s="3" t="s">
        <v>17</v>
      </c>
      <c r="C29" s="30"/>
      <c r="E29" s="31"/>
      <c r="F29" s="31"/>
      <c r="G29" s="31"/>
      <c r="H29" s="31"/>
      <c r="I29" s="65">
        <f>I28+I27</f>
        <v>0</v>
      </c>
      <c r="J29" s="65">
        <f t="shared" ref="J29:AH29" si="53">J28+J27</f>
        <v>0</v>
      </c>
      <c r="K29" s="65">
        <f t="shared" si="53"/>
        <v>0</v>
      </c>
      <c r="L29" s="65">
        <f t="shared" si="53"/>
        <v>0</v>
      </c>
      <c r="M29" s="65">
        <f t="shared" si="53"/>
        <v>0</v>
      </c>
      <c r="N29" s="65">
        <f t="shared" si="53"/>
        <v>100</v>
      </c>
      <c r="O29" s="65">
        <f t="shared" si="53"/>
        <v>33.200000000000003</v>
      </c>
      <c r="P29" s="65">
        <f t="shared" si="53"/>
        <v>34.700000000000003</v>
      </c>
      <c r="Q29" s="65">
        <f t="shared" si="53"/>
        <v>36</v>
      </c>
      <c r="R29" s="65">
        <f t="shared" si="53"/>
        <v>35.200000000000003</v>
      </c>
      <c r="S29" s="65">
        <f t="shared" si="53"/>
        <v>139.1</v>
      </c>
      <c r="T29" s="65">
        <f t="shared" si="53"/>
        <v>34.800000000000004</v>
      </c>
      <c r="U29" s="65">
        <f t="shared" si="53"/>
        <v>33.9</v>
      </c>
      <c r="V29" s="65">
        <f t="shared" si="53"/>
        <v>27.7</v>
      </c>
      <c r="W29" s="65">
        <f t="shared" si="53"/>
        <v>27.4</v>
      </c>
      <c r="X29" s="65">
        <f t="shared" si="53"/>
        <v>123.8</v>
      </c>
      <c r="Y29" s="65">
        <f t="shared" si="53"/>
        <v>10.6</v>
      </c>
      <c r="Z29" s="65">
        <f t="shared" si="53"/>
        <v>10.6</v>
      </c>
      <c r="AA29" s="65">
        <f t="shared" si="53"/>
        <v>15</v>
      </c>
      <c r="AB29" s="65">
        <f t="shared" si="53"/>
        <v>32.799999999999997</v>
      </c>
      <c r="AC29" s="65">
        <f t="shared" si="53"/>
        <v>69</v>
      </c>
      <c r="AD29" s="65">
        <f t="shared" si="53"/>
        <v>0</v>
      </c>
      <c r="AE29" s="65">
        <f t="shared" si="53"/>
        <v>0</v>
      </c>
      <c r="AF29" s="65">
        <f t="shared" si="53"/>
        <v>0</v>
      </c>
      <c r="AG29" s="65">
        <f t="shared" si="53"/>
        <v>0</v>
      </c>
      <c r="AH29" s="65">
        <f t="shared" si="53"/>
        <v>0</v>
      </c>
      <c r="AI29" s="63"/>
      <c r="AJ29" s="63"/>
    </row>
    <row r="30" spans="2:36" x14ac:dyDescent="0.25">
      <c r="B30" s="64" t="s">
        <v>61</v>
      </c>
      <c r="C30" s="30"/>
      <c r="E30" s="31"/>
      <c r="F30" s="31"/>
      <c r="G30" s="31"/>
      <c r="H30" s="31"/>
      <c r="I30" s="262"/>
      <c r="J30" s="262"/>
      <c r="K30" s="262"/>
      <c r="L30" s="262"/>
      <c r="M30" s="262"/>
      <c r="N30" s="263" t="e">
        <f>N29/I29-1</f>
        <v>#DIV/0!</v>
      </c>
      <c r="O30" s="263" t="e">
        <f t="shared" ref="O30" si="54">O29/J29-1</f>
        <v>#DIV/0!</v>
      </c>
      <c r="P30" s="263" t="e">
        <f t="shared" ref="P30" si="55">P29/K29-1</f>
        <v>#DIV/0!</v>
      </c>
      <c r="Q30" s="263" t="e">
        <f t="shared" ref="Q30" si="56">Q29/L29-1</f>
        <v>#DIV/0!</v>
      </c>
      <c r="R30" s="263" t="e">
        <f t="shared" ref="R30" si="57">R29/M29-1</f>
        <v>#DIV/0!</v>
      </c>
      <c r="S30" s="263">
        <f t="shared" ref="S30" si="58">S29/N29-1</f>
        <v>0.39100000000000001</v>
      </c>
      <c r="T30" s="263">
        <f t="shared" ref="T30" si="59">T29/O29-1</f>
        <v>4.8192771084337283E-2</v>
      </c>
      <c r="U30" s="263">
        <f t="shared" ref="U30" si="60">U29/P29-1</f>
        <v>-2.3054755043227737E-2</v>
      </c>
      <c r="V30" s="263">
        <f t="shared" ref="V30" si="61">V29/Q29-1</f>
        <v>-0.23055555555555562</v>
      </c>
      <c r="W30" s="263">
        <f>W29/R29-1</f>
        <v>-0.22159090909090917</v>
      </c>
      <c r="X30" s="263">
        <f t="shared" ref="X30" si="62">X29/S29-1</f>
        <v>-0.10999281092739033</v>
      </c>
      <c r="Y30" s="263">
        <f t="shared" ref="Y30" si="63">Y29/T29-1</f>
        <v>-0.69540229885057481</v>
      </c>
      <c r="Z30" s="263">
        <f t="shared" ref="Z30" si="64">Z29/U29-1</f>
        <v>-0.68731563421828912</v>
      </c>
      <c r="AA30" s="263">
        <f t="shared" ref="AA30" si="65">AA29/V29-1</f>
        <v>-0.45848375451263534</v>
      </c>
      <c r="AB30" s="263">
        <f>AB29/W29-1</f>
        <v>0.19708029197080279</v>
      </c>
      <c r="AC30" s="263">
        <f t="shared" ref="AC30" si="66">AC29/X29-1</f>
        <v>-0.4426494345718901</v>
      </c>
      <c r="AD30" s="263">
        <f t="shared" ref="AD30" si="67">AD29/Y29-1</f>
        <v>-1</v>
      </c>
      <c r="AE30" s="263">
        <f t="shared" ref="AE30" si="68">AE29/Z29-1</f>
        <v>-1</v>
      </c>
      <c r="AF30" s="263">
        <f t="shared" ref="AF30" si="69">AF29/AA29-1</f>
        <v>-1</v>
      </c>
      <c r="AG30" s="263">
        <f t="shared" ref="AG30" si="70">AG29/AB29-1</f>
        <v>-1</v>
      </c>
      <c r="AH30" s="263">
        <f t="shared" ref="AH30" si="71">AH29/AC29-1</f>
        <v>-1</v>
      </c>
      <c r="AI30" s="63">
        <v>0</v>
      </c>
      <c r="AJ30" s="63">
        <v>0</v>
      </c>
    </row>
    <row r="31" spans="2:36" x14ac:dyDescent="0.25">
      <c r="B31" s="3" t="s">
        <v>7</v>
      </c>
      <c r="C31" s="43"/>
      <c r="D31" s="12"/>
      <c r="E31" s="44"/>
      <c r="F31" s="44"/>
      <c r="G31" s="44"/>
      <c r="H31" s="4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</row>
    <row r="32" spans="2:36" x14ac:dyDescent="0.25">
      <c r="B32" s="2" t="s">
        <v>8</v>
      </c>
      <c r="C32" s="30"/>
      <c r="E32" s="31"/>
      <c r="F32" s="31"/>
      <c r="G32" s="31"/>
      <c r="H32" s="31"/>
      <c r="I32" s="65">
        <f>I7+I12+I17+I22+I27</f>
        <v>10129</v>
      </c>
      <c r="J32" s="65">
        <f t="shared" ref="J32:AG32" si="72">J7+J12+J17+J22+J27</f>
        <v>0</v>
      </c>
      <c r="K32" s="65">
        <f t="shared" si="72"/>
        <v>0</v>
      </c>
      <c r="L32" s="65">
        <f t="shared" si="72"/>
        <v>0</v>
      </c>
      <c r="M32" s="65">
        <f t="shared" si="72"/>
        <v>0</v>
      </c>
      <c r="N32" s="65">
        <f t="shared" si="72"/>
        <v>9466.6</v>
      </c>
      <c r="O32" s="65">
        <f t="shared" si="72"/>
        <v>2293.4</v>
      </c>
      <c r="P32" s="65">
        <f t="shared" si="72"/>
        <v>2514.3999999999996</v>
      </c>
      <c r="Q32" s="65">
        <f t="shared" si="72"/>
        <v>2653.8</v>
      </c>
      <c r="R32" s="65">
        <f t="shared" si="72"/>
        <v>2691.7000000000003</v>
      </c>
      <c r="S32" s="65">
        <f t="shared" si="72"/>
        <v>10153.299999999999</v>
      </c>
      <c r="T32" s="65">
        <f t="shared" si="72"/>
        <v>2624.1</v>
      </c>
      <c r="U32" s="65">
        <f t="shared" si="72"/>
        <v>2886.7999999999997</v>
      </c>
      <c r="V32" s="65">
        <f t="shared" si="72"/>
        <v>2962.9999999999995</v>
      </c>
      <c r="W32" s="65">
        <f t="shared" si="72"/>
        <v>2972.3</v>
      </c>
      <c r="X32" s="65">
        <f t="shared" si="72"/>
        <v>11446.199999999999</v>
      </c>
      <c r="Y32" s="65">
        <f t="shared" si="72"/>
        <v>2876.2999999999997</v>
      </c>
      <c r="Z32" s="65">
        <f t="shared" si="72"/>
        <v>3104.8</v>
      </c>
      <c r="AA32" s="65">
        <f t="shared" si="72"/>
        <v>3170.9</v>
      </c>
      <c r="AB32" s="65">
        <f t="shared" si="72"/>
        <v>3164.8000000000011</v>
      </c>
      <c r="AC32" s="65">
        <f t="shared" si="72"/>
        <v>12316.8</v>
      </c>
      <c r="AD32" s="65">
        <f t="shared" si="72"/>
        <v>2986.5</v>
      </c>
      <c r="AE32" s="65">
        <f t="shared" si="72"/>
        <v>3173.1000000000004</v>
      </c>
      <c r="AF32" s="65">
        <f t="shared" si="72"/>
        <v>3207.6709999999998</v>
      </c>
      <c r="AG32" s="65">
        <f t="shared" si="72"/>
        <v>3023.5380000000009</v>
      </c>
      <c r="AH32" s="65">
        <f>AH7+AH12+AH17+AH22+AH27</f>
        <v>12390.809000000001</v>
      </c>
      <c r="AI32" s="63"/>
      <c r="AJ32" s="63"/>
    </row>
    <row r="33" spans="2:36" x14ac:dyDescent="0.25">
      <c r="B33" s="2" t="s">
        <v>9</v>
      </c>
      <c r="C33" s="30"/>
      <c r="E33" s="31"/>
      <c r="F33" s="31"/>
      <c r="G33" s="31"/>
      <c r="H33" s="31"/>
      <c r="I33" s="65">
        <f>I8+I13+I18+I23+I28</f>
        <v>2433</v>
      </c>
      <c r="J33" s="65">
        <f t="shared" ref="J33:AH33" si="73">J8+J13+J18+J23+J28</f>
        <v>0</v>
      </c>
      <c r="K33" s="65">
        <f t="shared" si="73"/>
        <v>0</v>
      </c>
      <c r="L33" s="65">
        <f t="shared" si="73"/>
        <v>0</v>
      </c>
      <c r="M33" s="65">
        <f t="shared" si="73"/>
        <v>0</v>
      </c>
      <c r="N33" s="65">
        <f t="shared" si="73"/>
        <v>2323.6000000000004</v>
      </c>
      <c r="O33" s="65">
        <f t="shared" si="73"/>
        <v>591.6</v>
      </c>
      <c r="P33" s="65">
        <f t="shared" si="73"/>
        <v>648.09999999999991</v>
      </c>
      <c r="Q33" s="65">
        <f t="shared" si="73"/>
        <v>667</v>
      </c>
      <c r="R33" s="65">
        <f t="shared" si="73"/>
        <v>673.09999999999991</v>
      </c>
      <c r="S33" s="65">
        <f t="shared" si="73"/>
        <v>2579.7999999999997</v>
      </c>
      <c r="T33" s="65">
        <f t="shared" si="73"/>
        <v>642.6</v>
      </c>
      <c r="U33" s="65">
        <f t="shared" si="73"/>
        <v>693.8</v>
      </c>
      <c r="V33" s="65">
        <f t="shared" si="73"/>
        <v>706.3</v>
      </c>
      <c r="W33" s="65">
        <f t="shared" si="73"/>
        <v>698.89999999999986</v>
      </c>
      <c r="X33" s="65">
        <f t="shared" si="73"/>
        <v>2741.6</v>
      </c>
      <c r="Y33" s="65">
        <f t="shared" si="73"/>
        <v>695.30000000000007</v>
      </c>
      <c r="Z33" s="65">
        <f t="shared" si="73"/>
        <v>747.3</v>
      </c>
      <c r="AA33" s="65">
        <f t="shared" si="73"/>
        <v>787.2</v>
      </c>
      <c r="AB33" s="65">
        <f t="shared" si="73"/>
        <v>773.59999999999991</v>
      </c>
      <c r="AC33" s="65">
        <f t="shared" si="73"/>
        <v>3003.3999999999996</v>
      </c>
      <c r="AD33" s="65">
        <f t="shared" si="73"/>
        <v>765.40000000000009</v>
      </c>
      <c r="AE33" s="65">
        <f t="shared" si="73"/>
        <v>812.7</v>
      </c>
      <c r="AF33" s="65">
        <f t="shared" si="73"/>
        <v>839.61799999999994</v>
      </c>
      <c r="AG33" s="65">
        <f t="shared" si="73"/>
        <v>830.60199999999986</v>
      </c>
      <c r="AH33" s="65">
        <f t="shared" si="73"/>
        <v>3248.3199999999997</v>
      </c>
      <c r="AI33" s="63"/>
      <c r="AJ33" s="63"/>
    </row>
    <row r="34" spans="2:36" s="12" customFormat="1" x14ac:dyDescent="0.25">
      <c r="B34" s="12" t="s">
        <v>178</v>
      </c>
      <c r="C34" s="43"/>
      <c r="E34" s="44"/>
      <c r="F34" s="44"/>
      <c r="G34" s="44"/>
      <c r="H34" s="44"/>
      <c r="I34" s="266">
        <f>I33+I32</f>
        <v>12562</v>
      </c>
      <c r="J34" s="266">
        <f t="shared" ref="J34:AG34" si="74">J33+J32</f>
        <v>0</v>
      </c>
      <c r="K34" s="266">
        <f t="shared" si="74"/>
        <v>0</v>
      </c>
      <c r="L34" s="266">
        <f t="shared" si="74"/>
        <v>0</v>
      </c>
      <c r="M34" s="266">
        <f t="shared" si="74"/>
        <v>0</v>
      </c>
      <c r="N34" s="266">
        <f t="shared" si="74"/>
        <v>11790.2</v>
      </c>
      <c r="O34" s="266">
        <f t="shared" si="74"/>
        <v>2885</v>
      </c>
      <c r="P34" s="266">
        <f t="shared" si="74"/>
        <v>3162.4999999999995</v>
      </c>
      <c r="Q34" s="266">
        <f t="shared" si="74"/>
        <v>3320.8</v>
      </c>
      <c r="R34" s="266">
        <f t="shared" si="74"/>
        <v>3364.8</v>
      </c>
      <c r="S34" s="266">
        <f t="shared" si="74"/>
        <v>12733.099999999999</v>
      </c>
      <c r="T34" s="266">
        <f t="shared" si="74"/>
        <v>3266.7</v>
      </c>
      <c r="U34" s="266">
        <f t="shared" si="74"/>
        <v>3580.5999999999995</v>
      </c>
      <c r="V34" s="266">
        <f t="shared" si="74"/>
        <v>3669.2999999999993</v>
      </c>
      <c r="W34" s="266">
        <f t="shared" si="74"/>
        <v>3671.2</v>
      </c>
      <c r="X34" s="266">
        <f t="shared" si="74"/>
        <v>14187.8</v>
      </c>
      <c r="Y34" s="266">
        <f t="shared" si="74"/>
        <v>3571.6</v>
      </c>
      <c r="Z34" s="266">
        <f t="shared" si="74"/>
        <v>3852.1000000000004</v>
      </c>
      <c r="AA34" s="266">
        <f t="shared" si="74"/>
        <v>3958.1000000000004</v>
      </c>
      <c r="AB34" s="266">
        <f t="shared" si="74"/>
        <v>3938.400000000001</v>
      </c>
      <c r="AC34" s="266">
        <f t="shared" si="74"/>
        <v>15320.199999999999</v>
      </c>
      <c r="AD34" s="266">
        <f t="shared" si="74"/>
        <v>3751.9</v>
      </c>
      <c r="AE34" s="266">
        <f t="shared" si="74"/>
        <v>3985.8</v>
      </c>
      <c r="AF34" s="266">
        <f t="shared" si="74"/>
        <v>4047.2889999999998</v>
      </c>
      <c r="AG34" s="266">
        <f t="shared" si="74"/>
        <v>3854.1400000000008</v>
      </c>
      <c r="AH34" s="266">
        <f>AH33+AH32</f>
        <v>15639.129000000001</v>
      </c>
      <c r="AI34" s="73">
        <f>AI9+AI14+AI19+AI24</f>
        <v>16442.886020000002</v>
      </c>
      <c r="AJ34" s="73">
        <f>AJ9+AJ14+AJ19+AJ24</f>
        <v>17316.160677600004</v>
      </c>
    </row>
    <row r="35" spans="2:36" x14ac:dyDescent="0.25">
      <c r="B35" s="64" t="s">
        <v>61</v>
      </c>
      <c r="C35" s="30"/>
      <c r="E35" s="31"/>
      <c r="F35" s="31"/>
      <c r="G35" s="31"/>
      <c r="H35" s="31"/>
      <c r="I35" s="262"/>
      <c r="J35" s="262"/>
      <c r="K35" s="262"/>
      <c r="L35" s="262"/>
      <c r="M35" s="262"/>
      <c r="N35" s="263">
        <f>N34/I34-1</f>
        <v>-6.1439261264129907E-2</v>
      </c>
      <c r="O35" s="263" t="e">
        <f t="shared" ref="O35" si="75">O34/J34-1</f>
        <v>#DIV/0!</v>
      </c>
      <c r="P35" s="263" t="e">
        <f t="shared" ref="P35" si="76">P34/K34-1</f>
        <v>#DIV/0!</v>
      </c>
      <c r="Q35" s="263" t="e">
        <f t="shared" ref="Q35" si="77">Q34/L34-1</f>
        <v>#DIV/0!</v>
      </c>
      <c r="R35" s="263" t="e">
        <f t="shared" ref="R35" si="78">R34/M34-1</f>
        <v>#DIV/0!</v>
      </c>
      <c r="S35" s="263">
        <f t="shared" ref="S35" si="79">S34/N34-1</f>
        <v>7.9973198079760888E-2</v>
      </c>
      <c r="T35" s="263">
        <f t="shared" ref="T35" si="80">T34/O34-1</f>
        <v>0.13230502599653371</v>
      </c>
      <c r="U35" s="263">
        <f t="shared" ref="U35" si="81">U34/P34-1</f>
        <v>0.13220553359683795</v>
      </c>
      <c r="V35" s="263">
        <f t="shared" ref="V35" si="82">V34/Q34-1</f>
        <v>0.10494459166465875</v>
      </c>
      <c r="W35" s="263">
        <f>W34/R34-1</f>
        <v>9.1060389919162876E-2</v>
      </c>
      <c r="X35" s="263">
        <f t="shared" ref="X35" si="83">X34/S34-1</f>
        <v>0.11424554900220696</v>
      </c>
      <c r="Y35" s="263">
        <f t="shared" ref="Y35" si="84">Y34/T34-1</f>
        <v>9.3335782287935931E-2</v>
      </c>
      <c r="Z35" s="263">
        <f t="shared" ref="Z35" si="85">Z34/U34-1</f>
        <v>7.5825280679216123E-2</v>
      </c>
      <c r="AA35" s="263">
        <f t="shared" ref="AA35" si="86">AA34/V34-1</f>
        <v>7.8707110348023024E-2</v>
      </c>
      <c r="AB35" s="263">
        <f>AB34/W34-1</f>
        <v>7.2782741337982459E-2</v>
      </c>
      <c r="AC35" s="263">
        <f t="shared" ref="AC35" si="87">AC34/X34-1</f>
        <v>7.9815052368936712E-2</v>
      </c>
      <c r="AD35" s="263">
        <f t="shared" ref="AD35" si="88">AD34/Y34-1</f>
        <v>5.0481576884309654E-2</v>
      </c>
      <c r="AE35" s="263">
        <f t="shared" ref="AE35" si="89">AE34/Z34-1</f>
        <v>3.4708340904960888E-2</v>
      </c>
      <c r="AF35" s="263">
        <f t="shared" ref="AF35" si="90">AF34/AA34-1</f>
        <v>2.2533286172658373E-2</v>
      </c>
      <c r="AG35" s="263">
        <f t="shared" ref="AG35" si="91">AG34/AB34-1</f>
        <v>-2.1394474913670525E-2</v>
      </c>
      <c r="AH35" s="263">
        <f>AH34/AC34-1</f>
        <v>2.0817548073785108E-2</v>
      </c>
      <c r="AI35" s="263">
        <f>AI34/AH34-1</f>
        <v>5.1393975968866412E-2</v>
      </c>
      <c r="AJ35" s="263">
        <f>AJ34/AI34-1</f>
        <v>5.3109573133196308E-2</v>
      </c>
    </row>
    <row r="36" spans="2:36" x14ac:dyDescent="0.25">
      <c r="B36" s="70" t="s">
        <v>62</v>
      </c>
      <c r="C36" s="267"/>
      <c r="D36" s="268"/>
      <c r="E36" s="269"/>
      <c r="F36" s="269"/>
      <c r="G36" s="269"/>
      <c r="H36" s="269"/>
      <c r="I36" s="270">
        <v>14973.7</v>
      </c>
      <c r="J36" s="270"/>
      <c r="K36" s="270"/>
      <c r="L36" s="270"/>
      <c r="M36" s="270"/>
      <c r="N36" s="270">
        <v>11971.3</v>
      </c>
      <c r="O36" s="270"/>
      <c r="P36" s="270"/>
      <c r="Q36" s="270"/>
      <c r="R36" s="270"/>
      <c r="S36" s="270">
        <v>12728.8</v>
      </c>
      <c r="T36" s="270"/>
      <c r="U36" s="270"/>
      <c r="V36" s="270"/>
      <c r="W36" s="270"/>
      <c r="X36" s="270">
        <v>14220.4</v>
      </c>
      <c r="Y36" s="270"/>
      <c r="Z36" s="270"/>
      <c r="AA36" s="270"/>
      <c r="AB36" s="270"/>
      <c r="AC36" s="270">
        <v>15328.6</v>
      </c>
      <c r="AD36" s="270"/>
      <c r="AE36" s="270"/>
      <c r="AF36" s="270"/>
      <c r="AG36" s="270"/>
      <c r="AH36" s="270">
        <v>15814.1</v>
      </c>
      <c r="AI36" s="271">
        <v>16462.3</v>
      </c>
      <c r="AJ36" s="271">
        <v>17308.900000000001</v>
      </c>
    </row>
    <row r="37" spans="2:36" x14ac:dyDescent="0.25">
      <c r="B37" s="64"/>
      <c r="C37" s="30"/>
      <c r="E37" s="31"/>
      <c r="F37" s="31"/>
      <c r="G37" s="31"/>
      <c r="H37" s="31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3"/>
      <c r="AJ37" s="63"/>
    </row>
    <row r="38" spans="2:36" x14ac:dyDescent="0.25">
      <c r="B38" s="2" t="s">
        <v>190</v>
      </c>
      <c r="C38" s="30"/>
      <c r="E38" s="31"/>
      <c r="F38" s="31"/>
      <c r="G38" s="31"/>
      <c r="H38" s="31"/>
      <c r="I38" s="72">
        <f>'Raw Input'!I36</f>
        <v>5617.5</v>
      </c>
      <c r="J38" s="72">
        <f>'Raw Input'!J36</f>
        <v>0</v>
      </c>
      <c r="K38" s="72">
        <f>'Raw Input'!K36</f>
        <v>0</v>
      </c>
      <c r="L38" s="72">
        <f>'Raw Input'!L36</f>
        <v>0</v>
      </c>
      <c r="M38" s="72">
        <f>'Raw Input'!M36</f>
        <v>0</v>
      </c>
      <c r="N38" s="72">
        <f>'Raw Input'!N36</f>
        <v>5481.3</v>
      </c>
      <c r="O38" s="72">
        <f>'Raw Input'!O36</f>
        <v>1362.9</v>
      </c>
      <c r="P38" s="72">
        <f>'Raw Input'!P36</f>
        <v>1464.9</v>
      </c>
      <c r="Q38" s="72">
        <f>'Raw Input'!Q36</f>
        <v>1625.1</v>
      </c>
      <c r="R38" s="72">
        <f>'Raw Input'!R36</f>
        <v>1647.9999999999991</v>
      </c>
      <c r="S38" s="72">
        <f>'Raw Input'!S36</f>
        <v>6100.9</v>
      </c>
      <c r="T38" s="72">
        <f>'Raw Input'!T36</f>
        <v>1695.6</v>
      </c>
      <c r="U38" s="72">
        <f>'Raw Input'!U36</f>
        <v>1799</v>
      </c>
      <c r="V38" s="72">
        <f>'Raw Input'!V36</f>
        <v>1877.1</v>
      </c>
      <c r="W38" s="72">
        <f>'Raw Input'!W36</f>
        <v>1841.1000000000008</v>
      </c>
      <c r="X38" s="72">
        <f>'Raw Input'!X36</f>
        <v>7212.8</v>
      </c>
      <c r="Y38" s="72">
        <f>'Raw Input'!Y36</f>
        <v>1798.3</v>
      </c>
      <c r="Z38" s="72">
        <f>'Raw Input'!Z36</f>
        <v>1895.3</v>
      </c>
      <c r="AA38" s="72">
        <f>'Raw Input'!AA36</f>
        <v>1868.1</v>
      </c>
      <c r="AB38" s="72">
        <f>'Raw Input'!AB36</f>
        <v>1827.5000000000002</v>
      </c>
      <c r="AC38" s="72">
        <f>'Raw Input'!AC36</f>
        <v>7389.2</v>
      </c>
      <c r="AD38" s="72">
        <f>'Raw Input'!AD36</f>
        <v>1679.2</v>
      </c>
      <c r="AE38" s="72">
        <f>'Raw Input'!AE36</f>
        <v>1770.6</v>
      </c>
      <c r="AF38" s="258">
        <f>AA38*(1+AF41)</f>
        <v>1812.0569999999998</v>
      </c>
      <c r="AG38" s="258">
        <f>AB38*(1+AG41)</f>
        <v>1790.9500000000003</v>
      </c>
      <c r="AH38" s="258">
        <f>SUM(AD38:AG38)</f>
        <v>7052.8070000000007</v>
      </c>
      <c r="AI38" s="63"/>
      <c r="AJ38" s="63"/>
    </row>
    <row r="39" spans="2:36" x14ac:dyDescent="0.25">
      <c r="B39" s="2" t="s">
        <v>191</v>
      </c>
      <c r="C39" s="30"/>
      <c r="E39" s="31"/>
      <c r="F39" s="31"/>
      <c r="G39" s="31"/>
      <c r="H39" s="31"/>
      <c r="I39" s="65">
        <f>'Raw Input'!I37</f>
        <v>1428.3</v>
      </c>
      <c r="J39" s="65">
        <f>'Raw Input'!J37</f>
        <v>0</v>
      </c>
      <c r="K39" s="65">
        <f>'Raw Input'!K37</f>
        <v>0</v>
      </c>
      <c r="L39" s="65">
        <f>'Raw Input'!L37</f>
        <v>0</v>
      </c>
      <c r="M39" s="65">
        <f>'Raw Input'!M37</f>
        <v>0</v>
      </c>
      <c r="N39" s="65">
        <f>'Raw Input'!N37</f>
        <v>1424.5</v>
      </c>
      <c r="O39" s="65">
        <f>'Raw Input'!O37</f>
        <v>349.1</v>
      </c>
      <c r="P39" s="65">
        <f>'Raw Input'!P37</f>
        <v>379.1</v>
      </c>
      <c r="Q39" s="65">
        <f>'Raw Input'!Q37</f>
        <v>391.6</v>
      </c>
      <c r="R39" s="65">
        <f>'Raw Input'!R37</f>
        <v>395.10000000000014</v>
      </c>
      <c r="S39" s="65">
        <f>'Raw Input'!S37</f>
        <v>1514.9</v>
      </c>
      <c r="T39" s="65">
        <f>'Raw Input'!T37</f>
        <v>377.8</v>
      </c>
      <c r="U39" s="65">
        <f>'Raw Input'!U37</f>
        <v>412.1</v>
      </c>
      <c r="V39" s="65">
        <f>'Raw Input'!V37</f>
        <v>414.5</v>
      </c>
      <c r="W39" s="65">
        <f>'Raw Input'!W37</f>
        <v>413.8</v>
      </c>
      <c r="X39" s="65">
        <f>'Raw Input'!X37</f>
        <v>1618.2</v>
      </c>
      <c r="Y39" s="65">
        <f>'Raw Input'!Y37</f>
        <v>406.9</v>
      </c>
      <c r="Z39" s="65">
        <f>'Raw Input'!Z37</f>
        <v>439.5</v>
      </c>
      <c r="AA39" s="65">
        <f>'Raw Input'!AA37</f>
        <v>462.4</v>
      </c>
      <c r="AB39" s="65">
        <f>'Raw Input'!AB37</f>
        <v>456.9000000000002</v>
      </c>
      <c r="AC39" s="65">
        <f>'Raw Input'!AC37</f>
        <v>1765.7</v>
      </c>
      <c r="AD39" s="65">
        <f>'Raw Input'!AD37</f>
        <v>448.9</v>
      </c>
      <c r="AE39" s="65">
        <f>'Raw Input'!AE37</f>
        <v>470.4</v>
      </c>
      <c r="AF39" s="63">
        <f>AA39*(1+AF41)</f>
        <v>448.52799999999996</v>
      </c>
      <c r="AG39" s="63">
        <f>AB39*(1+AG41)</f>
        <v>447.76200000000017</v>
      </c>
      <c r="AH39" s="258">
        <f>SUM(AD39:AG39)</f>
        <v>1815.5900000000001</v>
      </c>
      <c r="AI39" s="69"/>
      <c r="AJ39" s="69"/>
    </row>
    <row r="40" spans="2:36" s="12" customFormat="1" x14ac:dyDescent="0.25">
      <c r="B40" s="4" t="s">
        <v>179</v>
      </c>
      <c r="C40" s="43"/>
      <c r="E40" s="44"/>
      <c r="F40" s="44"/>
      <c r="G40" s="44"/>
      <c r="H40" s="44"/>
      <c r="I40" s="69">
        <f>I39+I38</f>
        <v>7045.8</v>
      </c>
      <c r="J40" s="69">
        <f t="shared" ref="J40:AH40" si="92">J39+J38</f>
        <v>0</v>
      </c>
      <c r="K40" s="69">
        <f t="shared" si="92"/>
        <v>0</v>
      </c>
      <c r="L40" s="69">
        <f t="shared" si="92"/>
        <v>0</v>
      </c>
      <c r="M40" s="69">
        <f t="shared" si="92"/>
        <v>0</v>
      </c>
      <c r="N40" s="69">
        <f t="shared" si="92"/>
        <v>6905.8</v>
      </c>
      <c r="O40" s="69">
        <f t="shared" si="92"/>
        <v>1712</v>
      </c>
      <c r="P40" s="69">
        <f t="shared" si="92"/>
        <v>1844</v>
      </c>
      <c r="Q40" s="69">
        <f t="shared" si="92"/>
        <v>2016.6999999999998</v>
      </c>
      <c r="R40" s="69">
        <f t="shared" si="92"/>
        <v>2043.0999999999992</v>
      </c>
      <c r="S40" s="69">
        <f t="shared" si="92"/>
        <v>7615.7999999999993</v>
      </c>
      <c r="T40" s="69">
        <f t="shared" si="92"/>
        <v>2073.4</v>
      </c>
      <c r="U40" s="69">
        <f t="shared" si="92"/>
        <v>2211.1</v>
      </c>
      <c r="V40" s="69">
        <f t="shared" si="92"/>
        <v>2291.6</v>
      </c>
      <c r="W40" s="69">
        <f t="shared" si="92"/>
        <v>2254.900000000001</v>
      </c>
      <c r="X40" s="69">
        <f t="shared" si="92"/>
        <v>8831</v>
      </c>
      <c r="Y40" s="69">
        <f t="shared" si="92"/>
        <v>2205.1999999999998</v>
      </c>
      <c r="Z40" s="69">
        <f t="shared" si="92"/>
        <v>2334.8000000000002</v>
      </c>
      <c r="AA40" s="69">
        <f t="shared" si="92"/>
        <v>2330.5</v>
      </c>
      <c r="AB40" s="69">
        <f t="shared" si="92"/>
        <v>2284.4000000000005</v>
      </c>
      <c r="AC40" s="69">
        <f t="shared" si="92"/>
        <v>9154.9</v>
      </c>
      <c r="AD40" s="69">
        <f t="shared" si="92"/>
        <v>2128.1</v>
      </c>
      <c r="AE40" s="69">
        <f t="shared" si="92"/>
        <v>2241</v>
      </c>
      <c r="AF40" s="69">
        <f t="shared" si="92"/>
        <v>2260.5849999999996</v>
      </c>
      <c r="AG40" s="69">
        <f t="shared" si="92"/>
        <v>2238.7120000000004</v>
      </c>
      <c r="AH40" s="69">
        <f t="shared" si="92"/>
        <v>8868.3970000000008</v>
      </c>
      <c r="AI40" s="63">
        <f>AH40*(1+AI41)</f>
        <v>8957.0809700000009</v>
      </c>
      <c r="AJ40" s="63">
        <f>AI40*(1+AJ41)</f>
        <v>9136.2225894000003</v>
      </c>
    </row>
    <row r="41" spans="2:36" s="12" customFormat="1" x14ac:dyDescent="0.25">
      <c r="B41" s="64" t="s">
        <v>61</v>
      </c>
      <c r="C41" s="43"/>
      <c r="E41" s="44"/>
      <c r="F41" s="44"/>
      <c r="G41" s="44"/>
      <c r="H41" s="44"/>
      <c r="I41" s="262"/>
      <c r="J41" s="262"/>
      <c r="K41" s="262"/>
      <c r="L41" s="262"/>
      <c r="M41" s="262"/>
      <c r="N41" s="263">
        <f>N40/I40-1</f>
        <v>-1.9869993471287817E-2</v>
      </c>
      <c r="O41" s="263" t="e">
        <f t="shared" ref="O41" si="93">O40/J40-1</f>
        <v>#DIV/0!</v>
      </c>
      <c r="P41" s="263" t="e">
        <f t="shared" ref="P41" si="94">P40/K40-1</f>
        <v>#DIV/0!</v>
      </c>
      <c r="Q41" s="263" t="e">
        <f t="shared" ref="Q41" si="95">Q40/L40-1</f>
        <v>#DIV/0!</v>
      </c>
      <c r="R41" s="263" t="e">
        <f t="shared" ref="R41" si="96">R40/M40-1</f>
        <v>#DIV/0!</v>
      </c>
      <c r="S41" s="263">
        <f t="shared" ref="S41" si="97">S40/N40-1</f>
        <v>0.10281212893509784</v>
      </c>
      <c r="T41" s="263">
        <f t="shared" ref="T41" si="98">T40/O40-1</f>
        <v>0.2110981308411215</v>
      </c>
      <c r="U41" s="263">
        <f t="shared" ref="U41" si="99">U40/P40-1</f>
        <v>0.1990780911062906</v>
      </c>
      <c r="V41" s="263">
        <f t="shared" ref="V41" si="100">V40/Q40-1</f>
        <v>0.13631179649923153</v>
      </c>
      <c r="W41" s="263">
        <f>W40/R40-1</f>
        <v>0.10366599774852037</v>
      </c>
      <c r="X41" s="263">
        <f t="shared" ref="X41" si="101">X40/S40-1</f>
        <v>0.15956301373460446</v>
      </c>
      <c r="Y41" s="263">
        <f t="shared" ref="Y41" si="102">Y40/T40-1</f>
        <v>6.3567087874987882E-2</v>
      </c>
      <c r="Z41" s="263">
        <f t="shared" ref="Z41" si="103">Z40/U40-1</f>
        <v>5.5945004748767735E-2</v>
      </c>
      <c r="AA41" s="263">
        <f t="shared" ref="AA41" si="104">AA40/V40-1</f>
        <v>1.6975039273869896E-2</v>
      </c>
      <c r="AB41" s="263">
        <f>AB40/W40-1</f>
        <v>1.3082620071843243E-2</v>
      </c>
      <c r="AC41" s="263">
        <f t="shared" ref="AC41" si="105">AC40/X40-1</f>
        <v>3.6677612954365335E-2</v>
      </c>
      <c r="AD41" s="263">
        <f t="shared" ref="AD41" si="106">AD40/Y40-1</f>
        <v>-3.4962815164157446E-2</v>
      </c>
      <c r="AE41" s="263">
        <f t="shared" ref="AE41" si="107">AE40/Z40-1</f>
        <v>-4.0174747301696123E-2</v>
      </c>
      <c r="AF41" s="263">
        <v>-0.03</v>
      </c>
      <c r="AG41" s="263">
        <v>-0.02</v>
      </c>
      <c r="AH41" s="263">
        <f t="shared" ref="AH41" si="108">AH40/AC40-1</f>
        <v>-3.1295044183988763E-2</v>
      </c>
      <c r="AI41" s="263">
        <v>0.01</v>
      </c>
      <c r="AJ41" s="263">
        <v>0.02</v>
      </c>
    </row>
    <row r="42" spans="2:36" s="12" customFormat="1" x14ac:dyDescent="0.25">
      <c r="B42" s="64" t="s">
        <v>63</v>
      </c>
      <c r="C42" s="43"/>
      <c r="E42" s="44"/>
      <c r="F42" s="44"/>
      <c r="G42" s="44"/>
      <c r="H42" s="44"/>
      <c r="I42" s="263">
        <f>I40/I$34</f>
        <v>0.56088202515523011</v>
      </c>
      <c r="J42" s="263" t="e">
        <f t="shared" ref="J42:AJ42" si="109">J40/J$34</f>
        <v>#DIV/0!</v>
      </c>
      <c r="K42" s="263" t="e">
        <f t="shared" si="109"/>
        <v>#DIV/0!</v>
      </c>
      <c r="L42" s="263" t="e">
        <f t="shared" si="109"/>
        <v>#DIV/0!</v>
      </c>
      <c r="M42" s="263" t="e">
        <f t="shared" si="109"/>
        <v>#DIV/0!</v>
      </c>
      <c r="N42" s="263">
        <f t="shared" si="109"/>
        <v>0.58572373666265198</v>
      </c>
      <c r="O42" s="263">
        <f t="shared" si="109"/>
        <v>0.59341421143847484</v>
      </c>
      <c r="P42" s="263">
        <f t="shared" si="109"/>
        <v>0.58308300395256929</v>
      </c>
      <c r="Q42" s="263">
        <f t="shared" si="109"/>
        <v>0.60729342327150071</v>
      </c>
      <c r="R42" s="263">
        <f t="shared" si="109"/>
        <v>0.60719805040418429</v>
      </c>
      <c r="S42" s="263">
        <f t="shared" si="109"/>
        <v>0.59811043657868079</v>
      </c>
      <c r="T42" s="263">
        <f t="shared" si="109"/>
        <v>0.63470780910398883</v>
      </c>
      <c r="U42" s="263">
        <f t="shared" si="109"/>
        <v>0.61752220298274041</v>
      </c>
      <c r="V42" s="263">
        <f t="shared" si="109"/>
        <v>0.62453328972828615</v>
      </c>
      <c r="W42" s="263">
        <f t="shared" si="109"/>
        <v>0.61421333623883234</v>
      </c>
      <c r="X42" s="263">
        <f t="shared" si="109"/>
        <v>0.62243617756100311</v>
      </c>
      <c r="Y42" s="263">
        <f t="shared" si="109"/>
        <v>0.61742636353455027</v>
      </c>
      <c r="Z42" s="263">
        <f t="shared" si="109"/>
        <v>0.60611095246748525</v>
      </c>
      <c r="AA42" s="263">
        <f t="shared" si="109"/>
        <v>0.58879260251130583</v>
      </c>
      <c r="AB42" s="263">
        <f t="shared" si="109"/>
        <v>0.5800325005078204</v>
      </c>
      <c r="AC42" s="263">
        <f>AC40/AC$34</f>
        <v>0.59757052779989817</v>
      </c>
      <c r="AD42" s="263">
        <f t="shared" si="109"/>
        <v>0.56720594898584709</v>
      </c>
      <c r="AE42" s="263">
        <f t="shared" si="109"/>
        <v>0.56224597320487724</v>
      </c>
      <c r="AF42" s="263">
        <f t="shared" si="109"/>
        <v>0.55854301484277491</v>
      </c>
      <c r="AG42" s="263">
        <f t="shared" si="109"/>
        <v>0.58085902432189795</v>
      </c>
      <c r="AH42" s="263">
        <f t="shared" si="109"/>
        <v>0.56706463640014737</v>
      </c>
      <c r="AI42" s="263">
        <f t="shared" si="109"/>
        <v>0.54473898068168936</v>
      </c>
      <c r="AJ42" s="263">
        <f t="shared" si="109"/>
        <v>0.527612486364747</v>
      </c>
    </row>
    <row r="43" spans="2:36" s="12" customFormat="1" x14ac:dyDescent="0.25"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3"/>
      <c r="AJ43" s="63"/>
    </row>
    <row r="44" spans="2:36" s="12" customFormat="1" x14ac:dyDescent="0.25">
      <c r="B44" s="66" t="s">
        <v>64</v>
      </c>
      <c r="C44" s="67"/>
      <c r="D44" s="66"/>
      <c r="E44" s="68"/>
      <c r="F44" s="68"/>
      <c r="G44" s="68"/>
      <c r="H44" s="68"/>
      <c r="I44" s="259">
        <f>I34-I40</f>
        <v>5516.2</v>
      </c>
      <c r="J44" s="259">
        <f t="shared" ref="J44:AJ44" si="110">J34-J40</f>
        <v>0</v>
      </c>
      <c r="K44" s="259">
        <f t="shared" si="110"/>
        <v>0</v>
      </c>
      <c r="L44" s="259">
        <f t="shared" si="110"/>
        <v>0</v>
      </c>
      <c r="M44" s="259">
        <f t="shared" si="110"/>
        <v>0</v>
      </c>
      <c r="N44" s="259">
        <f t="shared" si="110"/>
        <v>4884.4000000000005</v>
      </c>
      <c r="O44" s="259">
        <f t="shared" si="110"/>
        <v>1173</v>
      </c>
      <c r="P44" s="259">
        <f t="shared" si="110"/>
        <v>1318.4999999999995</v>
      </c>
      <c r="Q44" s="259">
        <f t="shared" si="110"/>
        <v>1304.1000000000004</v>
      </c>
      <c r="R44" s="259">
        <f t="shared" si="110"/>
        <v>1321.700000000001</v>
      </c>
      <c r="S44" s="259">
        <f t="shared" si="110"/>
        <v>5117.2999999999993</v>
      </c>
      <c r="T44" s="259">
        <f t="shared" si="110"/>
        <v>1193.2999999999997</v>
      </c>
      <c r="U44" s="259">
        <f t="shared" si="110"/>
        <v>1369.4999999999995</v>
      </c>
      <c r="V44" s="259">
        <f t="shared" si="110"/>
        <v>1377.6999999999994</v>
      </c>
      <c r="W44" s="259">
        <f t="shared" si="110"/>
        <v>1416.2999999999988</v>
      </c>
      <c r="X44" s="259">
        <f t="shared" si="110"/>
        <v>5356.7999999999993</v>
      </c>
      <c r="Y44" s="259">
        <f t="shared" si="110"/>
        <v>1366.4</v>
      </c>
      <c r="Z44" s="259">
        <f t="shared" si="110"/>
        <v>1517.3000000000002</v>
      </c>
      <c r="AA44" s="259">
        <f t="shared" si="110"/>
        <v>1627.6000000000004</v>
      </c>
      <c r="AB44" s="259">
        <f t="shared" si="110"/>
        <v>1654.0000000000005</v>
      </c>
      <c r="AC44" s="259">
        <f t="shared" si="110"/>
        <v>6165.2999999999993</v>
      </c>
      <c r="AD44" s="259">
        <f t="shared" si="110"/>
        <v>1623.8000000000002</v>
      </c>
      <c r="AE44" s="259">
        <f t="shared" si="110"/>
        <v>1744.8000000000002</v>
      </c>
      <c r="AF44" s="259">
        <f t="shared" si="110"/>
        <v>1786.7040000000002</v>
      </c>
      <c r="AG44" s="259">
        <f t="shared" si="110"/>
        <v>1615.4280000000003</v>
      </c>
      <c r="AH44" s="259">
        <f t="shared" si="110"/>
        <v>6770.732</v>
      </c>
      <c r="AI44" s="259">
        <f t="shared" si="110"/>
        <v>7485.8050500000008</v>
      </c>
      <c r="AJ44" s="259">
        <f t="shared" si="110"/>
        <v>8179.9380882000041</v>
      </c>
    </row>
    <row r="45" spans="2:36" s="12" customFormat="1" x14ac:dyDescent="0.25">
      <c r="B45" s="64" t="s">
        <v>61</v>
      </c>
      <c r="C45" s="74"/>
      <c r="D45" s="75"/>
      <c r="E45" s="76"/>
      <c r="F45" s="76"/>
      <c r="G45" s="76"/>
      <c r="H45" s="76"/>
      <c r="I45" s="262"/>
      <c r="J45" s="262"/>
      <c r="K45" s="262"/>
      <c r="L45" s="262"/>
      <c r="M45" s="262"/>
      <c r="N45" s="263">
        <f>N44/I44-1</f>
        <v>-0.11453536855081381</v>
      </c>
      <c r="O45" s="263" t="e">
        <f t="shared" ref="O45" si="111">O44/J44-1</f>
        <v>#DIV/0!</v>
      </c>
      <c r="P45" s="263" t="e">
        <f t="shared" ref="P45" si="112">P44/K44-1</f>
        <v>#DIV/0!</v>
      </c>
      <c r="Q45" s="263" t="e">
        <f t="shared" ref="Q45" si="113">Q44/L44-1</f>
        <v>#DIV/0!</v>
      </c>
      <c r="R45" s="263" t="e">
        <f t="shared" ref="R45" si="114">R44/M44-1</f>
        <v>#DIV/0!</v>
      </c>
      <c r="S45" s="263">
        <f t="shared" ref="S45" si="115">S44/N44-1</f>
        <v>4.7682417492424634E-2</v>
      </c>
      <c r="T45" s="263">
        <f t="shared" ref="T45" si="116">T44/O44-1</f>
        <v>1.7306052855924792E-2</v>
      </c>
      <c r="U45" s="263">
        <f t="shared" ref="U45" si="117">U44/P44-1</f>
        <v>3.868031854379983E-2</v>
      </c>
      <c r="V45" s="263">
        <f t="shared" ref="V45" si="118">V44/Q44-1</f>
        <v>5.6437389770722213E-2</v>
      </c>
      <c r="W45" s="263">
        <f>W44/R44-1</f>
        <v>7.1574487402585873E-2</v>
      </c>
      <c r="X45" s="263">
        <f t="shared" ref="X45" si="119">X44/S44-1</f>
        <v>4.6802024505110174E-2</v>
      </c>
      <c r="Y45" s="263">
        <f t="shared" ref="Y45" si="120">Y44/T44-1</f>
        <v>0.14505991787480133</v>
      </c>
      <c r="Z45" s="263">
        <f t="shared" ref="Z45" si="121">Z44/U44-1</f>
        <v>0.10792259948886507</v>
      </c>
      <c r="AA45" s="263">
        <f t="shared" ref="AA45" si="122">AA44/V44-1</f>
        <v>0.18138927197503163</v>
      </c>
      <c r="AB45" s="263">
        <f>AB44/W44-1</f>
        <v>0.1678316740803516</v>
      </c>
      <c r="AC45" s="263">
        <f t="shared" ref="AC45" si="123">AC44/X44-1</f>
        <v>0.15092965949820791</v>
      </c>
      <c r="AD45" s="263">
        <f t="shared" ref="AD45" si="124">AD44/Y44-1</f>
        <v>0.18837822014051531</v>
      </c>
      <c r="AE45" s="263">
        <f t="shared" ref="AE45" si="125">AE44/Z44-1</f>
        <v>0.14993738878270602</v>
      </c>
      <c r="AF45" s="263">
        <f t="shared" ref="AF45" si="126">AF44/AA44-1</f>
        <v>9.7753747849594452E-2</v>
      </c>
      <c r="AG45" s="263">
        <f t="shared" ref="AG45" si="127">AG44/AB44-1</f>
        <v>-2.332043530834349E-2</v>
      </c>
      <c r="AH45" s="263">
        <f t="shared" ref="AH45" si="128">AH44/AC44-1</f>
        <v>9.8199925388870124E-2</v>
      </c>
      <c r="AI45" s="263">
        <f>AI44/AH44-1</f>
        <v>0.10561236953404762</v>
      </c>
      <c r="AJ45" s="263">
        <f>AJ44/AI44-1</f>
        <v>9.2726571633067412E-2</v>
      </c>
    </row>
    <row r="46" spans="2:36" s="79" customFormat="1" x14ac:dyDescent="0.25">
      <c r="B46" s="77" t="s">
        <v>65</v>
      </c>
      <c r="C46" s="78"/>
      <c r="E46" s="80"/>
      <c r="F46" s="80"/>
      <c r="G46" s="80"/>
      <c r="H46" s="80"/>
      <c r="I46" s="264">
        <f>I44/I$34</f>
        <v>0.43911797484476994</v>
      </c>
      <c r="J46" s="264" t="e">
        <f t="shared" ref="J46:AB46" si="129">J44/J$34</f>
        <v>#DIV/0!</v>
      </c>
      <c r="K46" s="264" t="e">
        <f t="shared" si="129"/>
        <v>#DIV/0!</v>
      </c>
      <c r="L46" s="264" t="e">
        <f t="shared" si="129"/>
        <v>#DIV/0!</v>
      </c>
      <c r="M46" s="264" t="e">
        <f t="shared" si="129"/>
        <v>#DIV/0!</v>
      </c>
      <c r="N46" s="264">
        <f t="shared" si="129"/>
        <v>0.41427626333734796</v>
      </c>
      <c r="O46" s="264">
        <f t="shared" si="129"/>
        <v>0.40658578856152511</v>
      </c>
      <c r="P46" s="264">
        <f t="shared" si="129"/>
        <v>0.41691699604743077</v>
      </c>
      <c r="Q46" s="264">
        <f t="shared" si="129"/>
        <v>0.39270657672849923</v>
      </c>
      <c r="R46" s="264">
        <f t="shared" si="129"/>
        <v>0.39280194959581577</v>
      </c>
      <c r="S46" s="264">
        <f t="shared" si="129"/>
        <v>0.40188956342131921</v>
      </c>
      <c r="T46" s="264">
        <f t="shared" si="129"/>
        <v>0.36529219089601123</v>
      </c>
      <c r="U46" s="264">
        <f t="shared" si="129"/>
        <v>0.38247779701725959</v>
      </c>
      <c r="V46" s="264">
        <f t="shared" si="129"/>
        <v>0.37546671027171385</v>
      </c>
      <c r="W46" s="264">
        <f t="shared" si="129"/>
        <v>0.38578666376116771</v>
      </c>
      <c r="X46" s="264">
        <f t="shared" si="129"/>
        <v>0.37756382243899683</v>
      </c>
      <c r="Y46" s="264">
        <f t="shared" si="129"/>
        <v>0.38257363646544967</v>
      </c>
      <c r="Z46" s="264">
        <f t="shared" si="129"/>
        <v>0.39388904753251475</v>
      </c>
      <c r="AA46" s="264">
        <f t="shared" si="129"/>
        <v>0.41120739748869412</v>
      </c>
      <c r="AB46" s="264">
        <f t="shared" si="129"/>
        <v>0.4199674994921796</v>
      </c>
      <c r="AC46" s="264">
        <f>AC44/AC$34</f>
        <v>0.40242947220010183</v>
      </c>
      <c r="AD46" s="264">
        <f t="shared" ref="AD46:AH46" si="130">AD44/AD$34</f>
        <v>0.43279405101415286</v>
      </c>
      <c r="AE46" s="264">
        <f t="shared" si="130"/>
        <v>0.43775402679512271</v>
      </c>
      <c r="AF46" s="264">
        <f t="shared" si="130"/>
        <v>0.44145698515722509</v>
      </c>
      <c r="AG46" s="264">
        <f>AG44/AG$34</f>
        <v>0.41914097567810199</v>
      </c>
      <c r="AH46" s="264">
        <f t="shared" si="130"/>
        <v>0.43293536359985263</v>
      </c>
      <c r="AI46" s="264">
        <f t="shared" ref="AI46:AJ46" si="131">AI44/AI$34</f>
        <v>0.45526101931831064</v>
      </c>
      <c r="AJ46" s="264">
        <f t="shared" si="131"/>
        <v>0.472387513635253</v>
      </c>
    </row>
    <row r="47" spans="2:36" x14ac:dyDescent="0.25">
      <c r="B47" s="81"/>
      <c r="C47" s="30"/>
      <c r="E47" s="31"/>
      <c r="F47" s="31"/>
      <c r="G47" s="31"/>
      <c r="H47" s="31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63"/>
      <c r="AJ47" s="63"/>
    </row>
    <row r="48" spans="2:36" x14ac:dyDescent="0.25">
      <c r="B48" s="51" t="s">
        <v>66</v>
      </c>
      <c r="C48" s="30"/>
      <c r="E48" s="31"/>
      <c r="F48" s="31"/>
      <c r="G48" s="31"/>
      <c r="H48" s="31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9"/>
      <c r="AJ48" s="69"/>
    </row>
    <row r="49" spans="2:36" x14ac:dyDescent="0.25">
      <c r="B49" s="2" t="s">
        <v>180</v>
      </c>
      <c r="C49" s="30"/>
      <c r="E49" s="31"/>
      <c r="F49" s="31"/>
      <c r="G49" s="31"/>
      <c r="H49" s="31"/>
      <c r="I49" s="63">
        <f>'Raw Input'!I40</f>
        <v>3550.8</v>
      </c>
      <c r="J49" s="63">
        <f>'Raw Input'!J40</f>
        <v>0</v>
      </c>
      <c r="K49" s="63">
        <f>'Raw Input'!K40</f>
        <v>0</v>
      </c>
      <c r="L49" s="63">
        <f>'Raw Input'!L40</f>
        <v>0</v>
      </c>
      <c r="M49" s="63">
        <f>'Raw Input'!M40</f>
        <v>0</v>
      </c>
      <c r="N49" s="63">
        <f>'Raw Input'!N40</f>
        <v>3309.1</v>
      </c>
      <c r="O49" s="63">
        <f>'Raw Input'!O40</f>
        <v>862.9</v>
      </c>
      <c r="P49" s="63">
        <f>'Raw Input'!P40</f>
        <v>853.3</v>
      </c>
      <c r="Q49" s="63">
        <f>'Raw Input'!Q40</f>
        <v>832</v>
      </c>
      <c r="R49" s="63">
        <f>'Raw Input'!R40</f>
        <v>867.9</v>
      </c>
      <c r="S49" s="63">
        <f>'Raw Input'!S40</f>
        <v>3416.1</v>
      </c>
      <c r="T49" s="63">
        <f>'Raw Input'!T40</f>
        <v>914.7</v>
      </c>
      <c r="U49" s="63">
        <f>'Raw Input'!U40</f>
        <v>940.1</v>
      </c>
      <c r="V49" s="63">
        <f>'Raw Input'!V40</f>
        <v>876.9</v>
      </c>
      <c r="W49" s="63">
        <f>'Raw Input'!W40</f>
        <v>922.10000000000014</v>
      </c>
      <c r="X49" s="63">
        <f>'Raw Input'!X40</f>
        <v>3653.8</v>
      </c>
      <c r="Y49" s="63">
        <f>'Raw Input'!Y40</f>
        <v>990.3</v>
      </c>
      <c r="Z49" s="63">
        <f>'Raw Input'!Z40</f>
        <v>1011.6</v>
      </c>
      <c r="AA49" s="63">
        <f>'Raw Input'!AA40</f>
        <v>1024.9000000000001</v>
      </c>
      <c r="AB49" s="63">
        <f>'Raw Input'!AB40</f>
        <v>1034.8</v>
      </c>
      <c r="AC49" s="63">
        <f>'Raw Input'!AC40</f>
        <v>4061.6</v>
      </c>
      <c r="AD49" s="63">
        <f>'Raw Input'!AD40</f>
        <v>1077.7</v>
      </c>
      <c r="AE49" s="63">
        <f>'Raw Input'!AE40</f>
        <v>1075.7</v>
      </c>
      <c r="AF49" s="63">
        <f>AF51*AF34</f>
        <v>1052.2951399999999</v>
      </c>
      <c r="AG49" s="63">
        <f>AG51*AG34</f>
        <v>1002.0764000000003</v>
      </c>
      <c r="AH49" s="258">
        <f>SUM(AD49:AG49)</f>
        <v>4207.7715399999997</v>
      </c>
      <c r="AI49" s="69">
        <f>AI51*AI34</f>
        <v>4357.3647953000009</v>
      </c>
      <c r="AJ49" s="69">
        <f>AJ51*AJ34</f>
        <v>4588.782579564001</v>
      </c>
    </row>
    <row r="50" spans="2:36" x14ac:dyDescent="0.25">
      <c r="B50" s="64" t="s">
        <v>61</v>
      </c>
      <c r="C50" s="30"/>
      <c r="E50" s="31"/>
      <c r="F50" s="31"/>
      <c r="G50" s="31"/>
      <c r="H50" s="31"/>
      <c r="I50" s="262"/>
      <c r="J50" s="262"/>
      <c r="K50" s="262"/>
      <c r="L50" s="262"/>
      <c r="M50" s="262"/>
      <c r="N50" s="263">
        <f>N49/I49-1</f>
        <v>-6.8069167511546791E-2</v>
      </c>
      <c r="O50" s="263" t="e">
        <f t="shared" ref="O50" si="132">O49/J49-1</f>
        <v>#DIV/0!</v>
      </c>
      <c r="P50" s="263" t="e">
        <f t="shared" ref="P50" si="133">P49/K49-1</f>
        <v>#DIV/0!</v>
      </c>
      <c r="Q50" s="263" t="e">
        <f t="shared" ref="Q50" si="134">Q49/L49-1</f>
        <v>#DIV/0!</v>
      </c>
      <c r="R50" s="263" t="e">
        <f t="shared" ref="R50" si="135">R49/M49-1</f>
        <v>#DIV/0!</v>
      </c>
      <c r="S50" s="263">
        <f t="shared" ref="S50" si="136">S49/N49-1</f>
        <v>3.2335076002538488E-2</v>
      </c>
      <c r="T50" s="263">
        <f t="shared" ref="T50" si="137">T49/O49-1</f>
        <v>6.0030130953760752E-2</v>
      </c>
      <c r="U50" s="263">
        <f t="shared" ref="U50" si="138">U49/P49-1</f>
        <v>0.10172272354388845</v>
      </c>
      <c r="V50" s="263">
        <f t="shared" ref="V50" si="139">V49/Q49-1</f>
        <v>5.3966346153846212E-2</v>
      </c>
      <c r="W50" s="263">
        <f>W49/R49-1</f>
        <v>6.2449590966701329E-2</v>
      </c>
      <c r="X50" s="263">
        <f t="shared" ref="X50" si="140">X49/S49-1</f>
        <v>6.9582272181727856E-2</v>
      </c>
      <c r="Y50" s="263">
        <f t="shared" ref="Y50" si="141">Y49/T49-1</f>
        <v>8.2650049196457687E-2</v>
      </c>
      <c r="Z50" s="263">
        <f t="shared" ref="Z50" si="142">Z49/U49-1</f>
        <v>7.6055738751196644E-2</v>
      </c>
      <c r="AA50" s="263">
        <f t="shared" ref="AA50" si="143">AA49/V49-1</f>
        <v>0.16877637130801704</v>
      </c>
      <c r="AB50" s="263">
        <f>AB49/W49-1</f>
        <v>0.12222101724324896</v>
      </c>
      <c r="AC50" s="263">
        <f t="shared" ref="AC50" si="144">AC49/X49-1</f>
        <v>0.11160983086102139</v>
      </c>
      <c r="AD50" s="263">
        <f t="shared" ref="AD50" si="145">AD49/Y49-1</f>
        <v>8.8256084014945113E-2</v>
      </c>
      <c r="AE50" s="263">
        <f t="shared" ref="AE50" si="146">AE49/Z49-1</f>
        <v>6.3364966389877431E-2</v>
      </c>
      <c r="AF50" s="263">
        <f t="shared" ref="AF50" si="147">AF49/AA49-1</f>
        <v>2.6729573616938174E-2</v>
      </c>
      <c r="AG50" s="263">
        <f t="shared" ref="AG50" si="148">AG49/AB49-1</f>
        <v>-3.1623115577889105E-2</v>
      </c>
      <c r="AH50" s="263">
        <f t="shared" ref="AH50" si="149">AH49/AC49-1</f>
        <v>3.5988659641520648E-2</v>
      </c>
      <c r="AI50" s="263">
        <f>AI49/AH49-1</f>
        <v>3.5551658134937991E-2</v>
      </c>
      <c r="AJ50" s="263">
        <f>AJ49/AI49-1</f>
        <v>5.3109573133196308E-2</v>
      </c>
    </row>
    <row r="51" spans="2:36" x14ac:dyDescent="0.25">
      <c r="B51" s="64" t="s">
        <v>63</v>
      </c>
      <c r="C51" s="30"/>
      <c r="E51" s="31"/>
      <c r="F51" s="31"/>
      <c r="G51" s="31"/>
      <c r="H51" s="31"/>
      <c r="I51" s="263">
        <f>I49/I$34</f>
        <v>0.28266199649737306</v>
      </c>
      <c r="J51" s="263" t="e">
        <f t="shared" ref="J51:AB51" si="150">J49/J$34</f>
        <v>#DIV/0!</v>
      </c>
      <c r="K51" s="263" t="e">
        <f t="shared" si="150"/>
        <v>#DIV/0!</v>
      </c>
      <c r="L51" s="263" t="e">
        <f t="shared" si="150"/>
        <v>#DIV/0!</v>
      </c>
      <c r="M51" s="263" t="e">
        <f t="shared" si="150"/>
        <v>#DIV/0!</v>
      </c>
      <c r="N51" s="263">
        <f t="shared" si="150"/>
        <v>0.28066529829858694</v>
      </c>
      <c r="O51" s="263">
        <f t="shared" si="150"/>
        <v>0.29909878682842289</v>
      </c>
      <c r="P51" s="263">
        <f t="shared" si="150"/>
        <v>0.26981818181818185</v>
      </c>
      <c r="Q51" s="263">
        <f t="shared" si="150"/>
        <v>0.25054203806311731</v>
      </c>
      <c r="R51" s="263">
        <f t="shared" si="150"/>
        <v>0.25793509272467902</v>
      </c>
      <c r="S51" s="263">
        <f t="shared" si="150"/>
        <v>0.26828502092970291</v>
      </c>
      <c r="T51" s="263">
        <f t="shared" si="150"/>
        <v>0.28000734686380752</v>
      </c>
      <c r="U51" s="263">
        <f t="shared" si="150"/>
        <v>0.26255376193933982</v>
      </c>
      <c r="V51" s="263">
        <f t="shared" si="150"/>
        <v>0.23898291227209553</v>
      </c>
      <c r="W51" s="263">
        <f t="shared" si="150"/>
        <v>0.25117127914578347</v>
      </c>
      <c r="X51" s="263">
        <f t="shared" si="150"/>
        <v>0.25753111828472353</v>
      </c>
      <c r="Y51" s="263">
        <f t="shared" si="150"/>
        <v>0.27727069100683166</v>
      </c>
      <c r="Z51" s="263">
        <f t="shared" si="150"/>
        <v>0.26261000493237452</v>
      </c>
      <c r="AA51" s="263">
        <f t="shared" si="150"/>
        <v>0.25893736893964275</v>
      </c>
      <c r="AB51" s="263">
        <f t="shared" si="150"/>
        <v>0.26274629291082663</v>
      </c>
      <c r="AC51" s="263">
        <f>AC49/AC$34</f>
        <v>0.26511403245388443</v>
      </c>
      <c r="AD51" s="263">
        <f t="shared" ref="AD51:AH51" si="151">AD49/AD$34</f>
        <v>0.28724113116021216</v>
      </c>
      <c r="AE51" s="263">
        <f t="shared" si="151"/>
        <v>0.26988308495157809</v>
      </c>
      <c r="AF51" s="263">
        <v>0.26</v>
      </c>
      <c r="AG51" s="263">
        <v>0.26</v>
      </c>
      <c r="AH51" s="263">
        <f t="shared" si="151"/>
        <v>0.26905408478950454</v>
      </c>
      <c r="AI51" s="263">
        <v>0.26500000000000001</v>
      </c>
      <c r="AJ51" s="263">
        <v>0.26500000000000001</v>
      </c>
    </row>
    <row r="52" spans="2:36" x14ac:dyDescent="0.25">
      <c r="C52" s="30"/>
      <c r="E52" s="31"/>
      <c r="F52" s="31"/>
      <c r="G52" s="31"/>
      <c r="H52" s="31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82"/>
      <c r="AJ52" s="82"/>
    </row>
    <row r="53" spans="2:36" x14ac:dyDescent="0.25">
      <c r="B53" s="51" t="s">
        <v>231</v>
      </c>
      <c r="C53" s="30"/>
      <c r="E53" s="31"/>
      <c r="F53" s="31"/>
      <c r="G53" s="31"/>
      <c r="H53" s="31"/>
      <c r="I53" s="72">
        <f t="shared" ref="I53:AJ53" si="152">I44-I49</f>
        <v>1965.3999999999996</v>
      </c>
      <c r="J53" s="72">
        <f t="shared" si="152"/>
        <v>0</v>
      </c>
      <c r="K53" s="72">
        <f t="shared" si="152"/>
        <v>0</v>
      </c>
      <c r="L53" s="72">
        <f t="shared" si="152"/>
        <v>0</v>
      </c>
      <c r="M53" s="72">
        <f t="shared" si="152"/>
        <v>0</v>
      </c>
      <c r="N53" s="72">
        <f t="shared" si="152"/>
        <v>1575.3000000000006</v>
      </c>
      <c r="O53" s="72">
        <f t="shared" si="152"/>
        <v>310.10000000000002</v>
      </c>
      <c r="P53" s="72">
        <f t="shared" si="152"/>
        <v>465.19999999999959</v>
      </c>
      <c r="Q53" s="72">
        <f t="shared" si="152"/>
        <v>472.10000000000036</v>
      </c>
      <c r="R53" s="72">
        <f t="shared" si="152"/>
        <v>453.80000000000098</v>
      </c>
      <c r="S53" s="72">
        <f t="shared" si="152"/>
        <v>1701.1999999999994</v>
      </c>
      <c r="T53" s="72">
        <f t="shared" si="152"/>
        <v>278.59999999999968</v>
      </c>
      <c r="U53" s="72">
        <f t="shared" si="152"/>
        <v>429.39999999999952</v>
      </c>
      <c r="V53" s="72">
        <f t="shared" si="152"/>
        <v>500.79999999999939</v>
      </c>
      <c r="W53" s="72">
        <f t="shared" si="152"/>
        <v>494.19999999999868</v>
      </c>
      <c r="X53" s="72">
        <f t="shared" si="152"/>
        <v>1702.9999999999991</v>
      </c>
      <c r="Y53" s="72">
        <f t="shared" si="152"/>
        <v>376.10000000000014</v>
      </c>
      <c r="Z53" s="72">
        <f t="shared" si="152"/>
        <v>505.70000000000016</v>
      </c>
      <c r="AA53" s="72">
        <f t="shared" si="152"/>
        <v>602.70000000000027</v>
      </c>
      <c r="AB53" s="72">
        <f t="shared" si="152"/>
        <v>619.2000000000005</v>
      </c>
      <c r="AC53" s="72">
        <f t="shared" si="152"/>
        <v>2103.6999999999994</v>
      </c>
      <c r="AD53" s="72">
        <f t="shared" si="152"/>
        <v>546.10000000000014</v>
      </c>
      <c r="AE53" s="72">
        <f t="shared" si="152"/>
        <v>669.10000000000014</v>
      </c>
      <c r="AF53" s="72">
        <f t="shared" si="152"/>
        <v>734.40886000000023</v>
      </c>
      <c r="AG53" s="72">
        <f t="shared" si="152"/>
        <v>613.35160000000008</v>
      </c>
      <c r="AH53" s="72">
        <f>AH44-AH49-15</f>
        <v>2547.9604600000002</v>
      </c>
      <c r="AI53" s="72">
        <f t="shared" si="152"/>
        <v>3128.4402547</v>
      </c>
      <c r="AJ53" s="72">
        <f t="shared" si="152"/>
        <v>3591.1555086360031</v>
      </c>
    </row>
    <row r="54" spans="2:36" x14ac:dyDescent="0.25">
      <c r="B54" s="64" t="s">
        <v>61</v>
      </c>
      <c r="C54" s="30"/>
      <c r="E54" s="31"/>
      <c r="F54" s="31"/>
      <c r="G54" s="31"/>
      <c r="H54" s="31"/>
      <c r="I54" s="72"/>
      <c r="J54" s="72"/>
      <c r="K54" s="72"/>
      <c r="L54" s="72"/>
      <c r="M54" s="72"/>
      <c r="N54" s="263">
        <f>N53/I53-1</f>
        <v>-0.19848376920728561</v>
      </c>
      <c r="O54" s="263" t="e">
        <f t="shared" ref="O54" si="153">O53/J53-1</f>
        <v>#DIV/0!</v>
      </c>
      <c r="P54" s="263" t="e">
        <f t="shared" ref="P54" si="154">P53/K53-1</f>
        <v>#DIV/0!</v>
      </c>
      <c r="Q54" s="263" t="e">
        <f t="shared" ref="Q54" si="155">Q53/L53-1</f>
        <v>#DIV/0!</v>
      </c>
      <c r="R54" s="263" t="e">
        <f t="shared" ref="R54" si="156">R53/M53-1</f>
        <v>#DIV/0!</v>
      </c>
      <c r="S54" s="263">
        <f t="shared" ref="S54" si="157">S53/N53-1</f>
        <v>7.9921284834633788E-2</v>
      </c>
      <c r="T54" s="263">
        <f t="shared" ref="T54" si="158">T53/O53-1</f>
        <v>-0.10158013544018163</v>
      </c>
      <c r="U54" s="263">
        <f t="shared" ref="U54" si="159">U53/P53-1</f>
        <v>-7.6956147893379456E-2</v>
      </c>
      <c r="V54" s="263">
        <f t="shared" ref="V54" si="160">V53/Q53-1</f>
        <v>6.0792205041302783E-2</v>
      </c>
      <c r="W54" s="263">
        <f>W53/R53-1</f>
        <v>8.902600264433147E-2</v>
      </c>
      <c r="X54" s="263">
        <f t="shared" ref="X54" si="161">X53/S53-1</f>
        <v>1.0580766517751528E-3</v>
      </c>
      <c r="Y54" s="263">
        <f t="shared" ref="Y54" si="162">Y53/T53-1</f>
        <v>0.34996410624551522</v>
      </c>
      <c r="Z54" s="263">
        <f t="shared" ref="Z54" si="163">Z53/U53-1</f>
        <v>0.177689799720542</v>
      </c>
      <c r="AA54" s="263">
        <f t="shared" ref="AA54" si="164">AA53/V53-1</f>
        <v>0.20347444089457078</v>
      </c>
      <c r="AB54" s="263">
        <f>AB53/W53-1</f>
        <v>0.25293403480372745</v>
      </c>
      <c r="AC54" s="263">
        <f t="shared" ref="AC54" si="165">AC53/X53-1</f>
        <v>0.23529066353493855</v>
      </c>
      <c r="AD54" s="263">
        <f t="shared" ref="AD54" si="166">AD53/Y53-1</f>
        <v>0.45200744482850297</v>
      </c>
      <c r="AE54" s="263">
        <f t="shared" ref="AE54" si="167">AE53/Z53-1</f>
        <v>0.32311647221672923</v>
      </c>
      <c r="AF54" s="263">
        <f t="shared" ref="AF54" si="168">AF53/AA53-1</f>
        <v>0.21853137547701995</v>
      </c>
      <c r="AG54" s="263">
        <f t="shared" ref="AG54" si="169">AG53/AB53-1</f>
        <v>-9.445090439277215E-3</v>
      </c>
      <c r="AH54" s="263">
        <f t="shared" ref="AH54" si="170">AH53/AC53-1</f>
        <v>0.2111805200361272</v>
      </c>
      <c r="AI54" s="263">
        <f>AI53/AH53-1</f>
        <v>0.22782135116021363</v>
      </c>
      <c r="AJ54" s="263">
        <f>AJ53/AI53-1</f>
        <v>0.1479060542201005</v>
      </c>
    </row>
    <row r="55" spans="2:36" x14ac:dyDescent="0.25">
      <c r="B55" s="81" t="s">
        <v>67</v>
      </c>
      <c r="C55" s="30"/>
      <c r="E55" s="31"/>
      <c r="F55" s="31"/>
      <c r="G55" s="31"/>
      <c r="H55" s="31"/>
      <c r="I55" s="264">
        <f>I53/I$34</f>
        <v>0.15645597834739688</v>
      </c>
      <c r="J55" s="264" t="e">
        <f t="shared" ref="J55:AB55" si="171">J53/J$34</f>
        <v>#DIV/0!</v>
      </c>
      <c r="K55" s="264" t="e">
        <f t="shared" si="171"/>
        <v>#DIV/0!</v>
      </c>
      <c r="L55" s="264" t="e">
        <f t="shared" si="171"/>
        <v>#DIV/0!</v>
      </c>
      <c r="M55" s="264" t="e">
        <f t="shared" si="171"/>
        <v>#DIV/0!</v>
      </c>
      <c r="N55" s="264">
        <f t="shared" si="171"/>
        <v>0.13361096503876105</v>
      </c>
      <c r="O55" s="264">
        <f t="shared" si="171"/>
        <v>0.10748700173310226</v>
      </c>
      <c r="P55" s="264">
        <f t="shared" si="171"/>
        <v>0.14709881422924889</v>
      </c>
      <c r="Q55" s="264">
        <f t="shared" si="171"/>
        <v>0.14216453866538195</v>
      </c>
      <c r="R55" s="264">
        <f t="shared" si="171"/>
        <v>0.13486685687113675</v>
      </c>
      <c r="S55" s="264">
        <f t="shared" si="171"/>
        <v>0.1336045424916163</v>
      </c>
      <c r="T55" s="264">
        <f t="shared" si="171"/>
        <v>8.5284844032203655E-2</v>
      </c>
      <c r="U55" s="264">
        <f t="shared" si="171"/>
        <v>0.11992403507791978</v>
      </c>
      <c r="V55" s="264">
        <f t="shared" si="171"/>
        <v>0.13648379799961832</v>
      </c>
      <c r="W55" s="264">
        <f t="shared" si="171"/>
        <v>0.13461538461538428</v>
      </c>
      <c r="X55" s="264">
        <f>X53/X$34</f>
        <v>0.12003270415427333</v>
      </c>
      <c r="Y55" s="264">
        <f t="shared" si="171"/>
        <v>0.10530294545861803</v>
      </c>
      <c r="Z55" s="264">
        <f t="shared" si="171"/>
        <v>0.1312790426001402</v>
      </c>
      <c r="AA55" s="264">
        <f t="shared" si="171"/>
        <v>0.15227002854905136</v>
      </c>
      <c r="AB55" s="264">
        <f t="shared" si="171"/>
        <v>0.15722120658135291</v>
      </c>
      <c r="AC55" s="264">
        <f>AC53/AC$34</f>
        <v>0.13731543974621738</v>
      </c>
      <c r="AD55" s="264">
        <f t="shared" ref="AD55:AH55" si="172">AD53/AD$34</f>
        <v>0.1455529198539407</v>
      </c>
      <c r="AE55" s="264">
        <f t="shared" si="172"/>
        <v>0.16787094184354462</v>
      </c>
      <c r="AF55" s="264">
        <f t="shared" si="172"/>
        <v>0.18145698515722505</v>
      </c>
      <c r="AG55" s="264">
        <f t="shared" si="172"/>
        <v>0.15914097567810198</v>
      </c>
      <c r="AH55" s="264">
        <f t="shared" si="172"/>
        <v>0.16292214611184549</v>
      </c>
      <c r="AI55" s="264">
        <f t="shared" ref="AI55:AJ55" si="173">AI53/AI$34</f>
        <v>0.19026101931831063</v>
      </c>
      <c r="AJ55" s="264">
        <f t="shared" si="173"/>
        <v>0.20738751363525301</v>
      </c>
    </row>
    <row r="56" spans="2:36" s="268" customFormat="1" x14ac:dyDescent="0.25">
      <c r="B56" s="70" t="s">
        <v>62</v>
      </c>
      <c r="C56" s="267"/>
      <c r="E56" s="269"/>
      <c r="F56" s="269"/>
      <c r="G56" s="269"/>
      <c r="H56" s="269"/>
      <c r="I56" s="270">
        <v>2294.6999999999998</v>
      </c>
      <c r="J56" s="270"/>
      <c r="K56" s="270"/>
      <c r="L56" s="270"/>
      <c r="M56" s="270"/>
      <c r="N56" s="270">
        <v>1653.9</v>
      </c>
      <c r="O56" s="270"/>
      <c r="P56" s="270"/>
      <c r="Q56" s="270"/>
      <c r="R56" s="270"/>
      <c r="S56" s="270">
        <v>1838</v>
      </c>
      <c r="T56" s="270"/>
      <c r="U56" s="270"/>
      <c r="V56" s="270"/>
      <c r="W56" s="270"/>
      <c r="X56" s="270">
        <v>1778.9</v>
      </c>
      <c r="Y56" s="270"/>
      <c r="Z56" s="270"/>
      <c r="AA56" s="270"/>
      <c r="AB56" s="270"/>
      <c r="AC56" s="270">
        <v>2094.5</v>
      </c>
      <c r="AD56" s="270"/>
      <c r="AE56" s="270"/>
      <c r="AF56" s="270"/>
      <c r="AG56" s="270"/>
      <c r="AH56" s="270">
        <v>2605.9</v>
      </c>
      <c r="AI56" s="271">
        <v>2861.8</v>
      </c>
      <c r="AJ56" s="271">
        <v>3186</v>
      </c>
    </row>
    <row r="57" spans="2:36" x14ac:dyDescent="0.25">
      <c r="B57" s="70"/>
      <c r="C57" s="30"/>
      <c r="E57" s="31"/>
      <c r="F57" s="31"/>
      <c r="G57" s="31"/>
      <c r="H57" s="31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82"/>
      <c r="AJ57" s="82"/>
    </row>
    <row r="58" spans="2:36" s="12" customFormat="1" x14ac:dyDescent="0.25">
      <c r="B58" s="1" t="s">
        <v>183</v>
      </c>
      <c r="C58" s="43"/>
      <c r="E58" s="44"/>
      <c r="F58" s="44"/>
      <c r="G58" s="44"/>
      <c r="H58" s="44"/>
      <c r="I58" s="63">
        <f>'Raw Input'!I44</f>
        <v>-77</v>
      </c>
      <c r="J58" s="63">
        <f>'Raw Input'!J44</f>
        <v>0</v>
      </c>
      <c r="K58" s="63">
        <f>'Raw Input'!K44</f>
        <v>0</v>
      </c>
      <c r="L58" s="63">
        <f>'Raw Input'!L44</f>
        <v>0</v>
      </c>
      <c r="M58" s="63">
        <f>'Raw Input'!M44</f>
        <v>0</v>
      </c>
      <c r="N58" s="63">
        <f>'Raw Input'!N44</f>
        <v>-55.9</v>
      </c>
      <c r="O58" s="63">
        <f>'Raw Input'!O44</f>
        <v>-17</v>
      </c>
      <c r="P58" s="63">
        <f>'Raw Input'!P44</f>
        <v>2.5</v>
      </c>
      <c r="Q58" s="63">
        <f>'Raw Input'!Q44</f>
        <v>-13</v>
      </c>
      <c r="R58" s="63">
        <f>'Raw Input'!R44</f>
        <v>-6.3999999999999986</v>
      </c>
      <c r="S58" s="63">
        <f>'Raw Input'!S44</f>
        <v>-33.9</v>
      </c>
      <c r="T58" s="63">
        <f>'Raw Input'!T44</f>
        <v>-18.8</v>
      </c>
      <c r="U58" s="63">
        <f>'Raw Input'!U44</f>
        <v>-19.5</v>
      </c>
      <c r="V58" s="63">
        <f>'Raw Input'!V44</f>
        <v>5.7</v>
      </c>
      <c r="W58" s="63">
        <f>'Raw Input'!W44</f>
        <v>8.1000000000000014</v>
      </c>
      <c r="X58" s="63">
        <f>'Raw Input'!X44</f>
        <v>-24.5</v>
      </c>
      <c r="Y58" s="63">
        <f>'Raw Input'!Y44</f>
        <v>-13.1</v>
      </c>
      <c r="Z58" s="63">
        <f>'Raw Input'!Z44</f>
        <v>-14.4</v>
      </c>
      <c r="AA58" s="63">
        <f>'Raw Input'!AA44</f>
        <v>-14.5</v>
      </c>
      <c r="AB58" s="63">
        <f>'Raw Input'!AB44</f>
        <v>-17.899999999999999</v>
      </c>
      <c r="AC58" s="63">
        <f>'Raw Input'!AC44</f>
        <v>-59.9</v>
      </c>
      <c r="AD58" s="63">
        <f>'Raw Input'!AD44</f>
        <v>-12.6</v>
      </c>
      <c r="AE58" s="63">
        <f>'Raw Input'!AE44</f>
        <v>-12.6</v>
      </c>
      <c r="AF58" s="63">
        <f>AE58</f>
        <v>-12.6</v>
      </c>
      <c r="AG58" s="63">
        <f>AF58</f>
        <v>-12.6</v>
      </c>
      <c r="AH58" s="258">
        <f>SUM(AD58:AG58)</f>
        <v>-50.4</v>
      </c>
      <c r="AI58" s="63">
        <f>AI60*AI$53</f>
        <v>-62.568805093999998</v>
      </c>
      <c r="AJ58" s="63">
        <f>AJ60*AJ$53</f>
        <v>-71.823110172720064</v>
      </c>
    </row>
    <row r="59" spans="2:36" x14ac:dyDescent="0.25">
      <c r="B59" s="64" t="s">
        <v>61</v>
      </c>
      <c r="C59" s="30"/>
      <c r="E59" s="31"/>
      <c r="F59" s="31"/>
      <c r="G59" s="31"/>
      <c r="H59" s="31"/>
      <c r="I59" s="262"/>
      <c r="J59" s="262"/>
      <c r="K59" s="262"/>
      <c r="L59" s="262"/>
      <c r="M59" s="262"/>
      <c r="N59" s="263">
        <f>N58/I58-1</f>
        <v>-0.27402597402597406</v>
      </c>
      <c r="O59" s="263" t="e">
        <f t="shared" ref="O59" si="174">O58/J58-1</f>
        <v>#DIV/0!</v>
      </c>
      <c r="P59" s="263" t="e">
        <f t="shared" ref="P59" si="175">P58/K58-1</f>
        <v>#DIV/0!</v>
      </c>
      <c r="Q59" s="263" t="e">
        <f t="shared" ref="Q59" si="176">Q58/L58-1</f>
        <v>#DIV/0!</v>
      </c>
      <c r="R59" s="263" t="e">
        <f t="shared" ref="R59" si="177">R58/M58-1</f>
        <v>#DIV/0!</v>
      </c>
      <c r="S59" s="263">
        <f t="shared" ref="S59" si="178">S58/N58-1</f>
        <v>-0.3935599284436494</v>
      </c>
      <c r="T59" s="263">
        <f t="shared" ref="T59" si="179">T58/O58-1</f>
        <v>0.10588235294117654</v>
      </c>
      <c r="U59" s="263">
        <f t="shared" ref="U59" si="180">U58/P58-1</f>
        <v>-8.8000000000000007</v>
      </c>
      <c r="V59" s="263">
        <f t="shared" ref="V59" si="181">V58/Q58-1</f>
        <v>-1.4384615384615385</v>
      </c>
      <c r="W59" s="263">
        <f>W58/R58-1</f>
        <v>-2.2656250000000004</v>
      </c>
      <c r="X59" s="263">
        <f t="shared" ref="X59" si="182">X58/S58-1</f>
        <v>-0.27728613569321536</v>
      </c>
      <c r="Y59" s="263">
        <f t="shared" ref="Y59" si="183">Y58/T58-1</f>
        <v>-0.30319148936170215</v>
      </c>
      <c r="Z59" s="263">
        <f t="shared" ref="Z59" si="184">Z58/U58-1</f>
        <v>-0.2615384615384615</v>
      </c>
      <c r="AA59" s="263">
        <f t="shared" ref="AA59" si="185">AA58/V58-1</f>
        <v>-3.5438596491228069</v>
      </c>
      <c r="AB59" s="263">
        <f>AB58/W58-1</f>
        <v>-3.2098765432098761</v>
      </c>
      <c r="AC59" s="263">
        <f t="shared" ref="AC59" si="186">AC58/X58-1</f>
        <v>1.4448979591836735</v>
      </c>
      <c r="AD59" s="263">
        <f t="shared" ref="AD59" si="187">AD58/Y58-1</f>
        <v>-3.8167938931297662E-2</v>
      </c>
      <c r="AE59" s="263">
        <f t="shared" ref="AE59" si="188">AE58/Z58-1</f>
        <v>-0.125</v>
      </c>
      <c r="AF59" s="263">
        <f t="shared" ref="AF59" si="189">AF58/AA58-1</f>
        <v>-0.13103448275862073</v>
      </c>
      <c r="AG59" s="263">
        <f t="shared" ref="AG59" si="190">AG58/AB58-1</f>
        <v>-0.2960893854748603</v>
      </c>
      <c r="AH59" s="263">
        <f t="shared" ref="AH59" si="191">AH58/AC58-1</f>
        <v>-0.15859766277128551</v>
      </c>
      <c r="AI59" s="263">
        <f>AI58/AH58-1</f>
        <v>0.24144454551587291</v>
      </c>
      <c r="AJ59" s="263">
        <f>AJ58/AI58-1</f>
        <v>0.1479060542201005</v>
      </c>
    </row>
    <row r="60" spans="2:36" x14ac:dyDescent="0.25">
      <c r="B60" s="64" t="s">
        <v>68</v>
      </c>
      <c r="C60" s="30"/>
      <c r="E60" s="31"/>
      <c r="F60" s="31"/>
      <c r="G60" s="31"/>
      <c r="H60" s="31"/>
      <c r="I60" s="263">
        <f>I58/I$53</f>
        <v>-3.9177775516434324E-2</v>
      </c>
      <c r="J60" s="263" t="e">
        <f t="shared" ref="J60:AH60" si="192">J58/J$53</f>
        <v>#DIV/0!</v>
      </c>
      <c r="K60" s="263" t="e">
        <f t="shared" si="192"/>
        <v>#DIV/0!</v>
      </c>
      <c r="L60" s="263" t="e">
        <f t="shared" si="192"/>
        <v>#DIV/0!</v>
      </c>
      <c r="M60" s="263" t="e">
        <f t="shared" si="192"/>
        <v>#DIV/0!</v>
      </c>
      <c r="N60" s="263">
        <f t="shared" si="192"/>
        <v>-3.5485304386466056E-2</v>
      </c>
      <c r="O60" s="263">
        <f t="shared" si="192"/>
        <v>-5.4821025475653012E-2</v>
      </c>
      <c r="P60" s="263">
        <f t="shared" si="192"/>
        <v>5.3740326741186636E-3</v>
      </c>
      <c r="Q60" s="263">
        <f t="shared" si="192"/>
        <v>-2.753653886888369E-2</v>
      </c>
      <c r="R60" s="263">
        <f t="shared" si="192"/>
        <v>-1.4103129131776079E-2</v>
      </c>
      <c r="S60" s="263">
        <f t="shared" si="192"/>
        <v>-1.9927110275099937E-2</v>
      </c>
      <c r="T60" s="263">
        <f t="shared" si="192"/>
        <v>-6.7480258435032386E-2</v>
      </c>
      <c r="U60" s="263">
        <f t="shared" si="192"/>
        <v>-4.5412203074056877E-2</v>
      </c>
      <c r="V60" s="263">
        <f t="shared" si="192"/>
        <v>1.1381789137380206E-2</v>
      </c>
      <c r="W60" s="263">
        <f t="shared" si="192"/>
        <v>1.6390125455281308E-2</v>
      </c>
      <c r="X60" s="263">
        <f t="shared" si="192"/>
        <v>-1.4386376981796838E-2</v>
      </c>
      <c r="Y60" s="263">
        <f t="shared" si="192"/>
        <v>-3.4831161925019928E-2</v>
      </c>
      <c r="Z60" s="263">
        <f t="shared" si="192"/>
        <v>-2.8475380660470628E-2</v>
      </c>
      <c r="AA60" s="263">
        <f t="shared" si="192"/>
        <v>-2.4058403849344604E-2</v>
      </c>
      <c r="AB60" s="263">
        <f t="shared" si="192"/>
        <v>-2.8908268733850103E-2</v>
      </c>
      <c r="AC60" s="263">
        <f t="shared" si="192"/>
        <v>-2.8473641678946626E-2</v>
      </c>
      <c r="AD60" s="263">
        <f t="shared" si="192"/>
        <v>-2.3072697308185307E-2</v>
      </c>
      <c r="AE60" s="263">
        <f t="shared" si="192"/>
        <v>-1.8831265879539677E-2</v>
      </c>
      <c r="AF60" s="263">
        <f t="shared" si="192"/>
        <v>-1.7156655762568002E-2</v>
      </c>
      <c r="AG60" s="263">
        <f t="shared" si="192"/>
        <v>-2.0542866440716873E-2</v>
      </c>
      <c r="AH60" s="263">
        <f t="shared" si="192"/>
        <v>-1.978052673548945E-2</v>
      </c>
      <c r="AI60" s="263">
        <v>-0.02</v>
      </c>
      <c r="AJ60" s="263">
        <v>-0.02</v>
      </c>
    </row>
    <row r="61" spans="2:36" x14ac:dyDescent="0.25">
      <c r="B61" s="1" t="s">
        <v>184</v>
      </c>
      <c r="C61" s="30"/>
      <c r="E61" s="31"/>
      <c r="F61" s="31"/>
      <c r="G61" s="31"/>
      <c r="H61" s="31"/>
      <c r="I61" s="63">
        <f>'Raw Input'!I45</f>
        <v>190.7</v>
      </c>
      <c r="J61" s="63">
        <f>'Raw Input'!J45</f>
        <v>0</v>
      </c>
      <c r="K61" s="63">
        <f>'Raw Input'!K45</f>
        <v>0</v>
      </c>
      <c r="L61" s="63">
        <f>'Raw Input'!L45</f>
        <v>0</v>
      </c>
      <c r="M61" s="63">
        <f>'Raw Input'!M45</f>
        <v>0</v>
      </c>
      <c r="N61" s="63">
        <f>'Raw Input'!N45</f>
        <v>290.2</v>
      </c>
      <c r="O61" s="63">
        <f>'Raw Input'!O45</f>
        <v>51.7</v>
      </c>
      <c r="P61" s="63">
        <f>'Raw Input'!P45</f>
        <v>45.6</v>
      </c>
      <c r="Q61" s="63">
        <f>'Raw Input'!Q45</f>
        <v>76.400000000000006</v>
      </c>
      <c r="R61" s="63">
        <f>'Raw Input'!R45</f>
        <v>44.600000000000009</v>
      </c>
      <c r="S61" s="63">
        <f>'Raw Input'!S45</f>
        <v>218.3</v>
      </c>
      <c r="T61" s="63">
        <f>'Raw Input'!T45</f>
        <v>53</v>
      </c>
      <c r="U61" s="63">
        <f>'Raw Input'!U45</f>
        <v>56</v>
      </c>
      <c r="V61" s="63">
        <f>'Raw Input'!V45</f>
        <v>65.099999999999994</v>
      </c>
      <c r="W61" s="63">
        <f>'Raw Input'!W45</f>
        <v>69.5</v>
      </c>
      <c r="X61" s="63">
        <f>'Raw Input'!X45</f>
        <v>243.6</v>
      </c>
      <c r="Y61" s="63">
        <f>'Raw Input'!Y45</f>
        <v>74.2</v>
      </c>
      <c r="Z61" s="63">
        <f>'Raw Input'!Z45</f>
        <v>77.8</v>
      </c>
      <c r="AA61" s="63">
        <f>'Raw Input'!AA45</f>
        <v>74.3</v>
      </c>
      <c r="AB61" s="63">
        <f>'Raw Input'!AB45</f>
        <v>70.399999999999963</v>
      </c>
      <c r="AC61" s="63">
        <f>'Raw Input'!AC45</f>
        <v>296.7</v>
      </c>
      <c r="AD61" s="63">
        <f>'Raw Input'!AD45</f>
        <v>71.599999999999994</v>
      </c>
      <c r="AE61" s="63">
        <f>'Raw Input'!AE45</f>
        <v>78.8</v>
      </c>
      <c r="AF61" s="63">
        <f>AF63*AF53</f>
        <v>88.129063200000019</v>
      </c>
      <c r="AG61" s="63">
        <f>AG63*AG53</f>
        <v>73.602192000000002</v>
      </c>
      <c r="AH61" s="258">
        <f>SUM(AD61:AG61)</f>
        <v>312.1312552</v>
      </c>
      <c r="AI61" s="63">
        <f>AI63*AI$53</f>
        <v>406.697233111</v>
      </c>
      <c r="AJ61" s="63">
        <f>AJ63*AJ$53</f>
        <v>430.93866103632035</v>
      </c>
    </row>
    <row r="62" spans="2:36" x14ac:dyDescent="0.25">
      <c r="B62" s="64" t="s">
        <v>61</v>
      </c>
      <c r="C62" s="30"/>
      <c r="E62" s="31"/>
      <c r="F62" s="31"/>
      <c r="G62" s="31"/>
      <c r="H62" s="31"/>
      <c r="I62" s="262"/>
      <c r="J62" s="262"/>
      <c r="K62" s="262"/>
      <c r="L62" s="262"/>
      <c r="M62" s="262"/>
      <c r="N62" s="263">
        <f>N61/I61-1</f>
        <v>0.52176192973256419</v>
      </c>
      <c r="O62" s="263" t="e">
        <f t="shared" ref="O62" si="193">O61/J61-1</f>
        <v>#DIV/0!</v>
      </c>
      <c r="P62" s="263" t="e">
        <f t="shared" ref="P62" si="194">P61/K61-1</f>
        <v>#DIV/0!</v>
      </c>
      <c r="Q62" s="263" t="e">
        <f t="shared" ref="Q62" si="195">Q61/L61-1</f>
        <v>#DIV/0!</v>
      </c>
      <c r="R62" s="263" t="e">
        <f t="shared" ref="R62" si="196">R61/M61-1</f>
        <v>#DIV/0!</v>
      </c>
      <c r="S62" s="263">
        <f t="shared" ref="S62" si="197">S61/N61-1</f>
        <v>-0.24776016540317014</v>
      </c>
      <c r="T62" s="263">
        <f t="shared" ref="T62" si="198">T61/O61-1</f>
        <v>2.5145067698259194E-2</v>
      </c>
      <c r="U62" s="263">
        <f t="shared" ref="U62" si="199">U61/P61-1</f>
        <v>0.22807017543859653</v>
      </c>
      <c r="V62" s="263">
        <f t="shared" ref="V62" si="200">V61/Q61-1</f>
        <v>-0.14790575916230375</v>
      </c>
      <c r="W62" s="263">
        <f>W61/R61-1</f>
        <v>0.55829596412556026</v>
      </c>
      <c r="X62" s="263">
        <f t="shared" ref="X62" si="201">X61/S61-1</f>
        <v>0.11589555657352268</v>
      </c>
      <c r="Y62" s="263">
        <f t="shared" ref="Y62" si="202">Y61/T61-1</f>
        <v>0.40000000000000013</v>
      </c>
      <c r="Z62" s="263">
        <f t="shared" ref="Z62" si="203">Z61/U61-1</f>
        <v>0.38928571428571423</v>
      </c>
      <c r="AA62" s="263">
        <f t="shared" ref="AA62" si="204">AA61/V61-1</f>
        <v>0.14132104454685113</v>
      </c>
      <c r="AB62" s="263">
        <f>AB61/W61-1</f>
        <v>1.2949640287769348E-2</v>
      </c>
      <c r="AC62" s="263">
        <f t="shared" ref="AC62" si="205">AC61/X61-1</f>
        <v>0.21798029556650245</v>
      </c>
      <c r="AD62" s="263">
        <f t="shared" ref="AD62" si="206">AD61/Y61-1</f>
        <v>-3.5040431266846528E-2</v>
      </c>
      <c r="AE62" s="263">
        <f t="shared" ref="AE62" si="207">AE61/Z61-1</f>
        <v>1.2853470437018011E-2</v>
      </c>
      <c r="AF62" s="263">
        <f t="shared" ref="AF62" si="208">AF61/AA61-1</f>
        <v>0.18612467294751034</v>
      </c>
      <c r="AG62" s="263">
        <f t="shared" ref="AG62" si="209">AG61/AB61-1</f>
        <v>4.5485681818182355E-2</v>
      </c>
      <c r="AH62" s="263">
        <f t="shared" ref="AH62" si="210">AH61/AC61-1</f>
        <v>5.200962318840574E-2</v>
      </c>
      <c r="AI62" s="263">
        <f>AI61/AH61-1</f>
        <v>0.30296862725396179</v>
      </c>
      <c r="AJ62" s="263">
        <f>AJ61/AI61-1</f>
        <v>5.9605588510861951E-2</v>
      </c>
    </row>
    <row r="63" spans="2:36" x14ac:dyDescent="0.25">
      <c r="B63" s="64" t="s">
        <v>68</v>
      </c>
      <c r="C63" s="30"/>
      <c r="E63" s="31"/>
      <c r="F63" s="31"/>
      <c r="G63" s="31"/>
      <c r="H63" s="31"/>
      <c r="I63" s="263">
        <f>I61/I$53</f>
        <v>9.7028594688104208E-2</v>
      </c>
      <c r="J63" s="263" t="e">
        <f t="shared" ref="J63:AH63" si="211">J61/J$53</f>
        <v>#DIV/0!</v>
      </c>
      <c r="K63" s="263" t="e">
        <f t="shared" si="211"/>
        <v>#DIV/0!</v>
      </c>
      <c r="L63" s="263" t="e">
        <f t="shared" si="211"/>
        <v>#DIV/0!</v>
      </c>
      <c r="M63" s="263" t="e">
        <f t="shared" si="211"/>
        <v>#DIV/0!</v>
      </c>
      <c r="N63" s="263">
        <f t="shared" si="211"/>
        <v>0.18421887894369318</v>
      </c>
      <c r="O63" s="263">
        <f t="shared" si="211"/>
        <v>0.16672041277007416</v>
      </c>
      <c r="P63" s="263">
        <f t="shared" si="211"/>
        <v>9.8022355975924416E-2</v>
      </c>
      <c r="Q63" s="263">
        <f t="shared" si="211"/>
        <v>0.16183012073713185</v>
      </c>
      <c r="R63" s="263">
        <f t="shared" si="211"/>
        <v>9.8281181137064591E-2</v>
      </c>
      <c r="S63" s="263">
        <f t="shared" si="211"/>
        <v>0.12832118504585005</v>
      </c>
      <c r="T63" s="263">
        <f t="shared" si="211"/>
        <v>0.19023689877961256</v>
      </c>
      <c r="U63" s="263">
        <f t="shared" si="211"/>
        <v>0.13041453190498384</v>
      </c>
      <c r="V63" s="263">
        <f t="shared" si="211"/>
        <v>0.12999201277955286</v>
      </c>
      <c r="W63" s="263">
        <f t="shared" si="211"/>
        <v>0.14063132335087047</v>
      </c>
      <c r="X63" s="263">
        <f t="shared" si="211"/>
        <v>0.14304169113329426</v>
      </c>
      <c r="Y63" s="263">
        <f t="shared" si="211"/>
        <v>0.19728795533102891</v>
      </c>
      <c r="Z63" s="263">
        <f t="shared" si="211"/>
        <v>0.1538461538461538</v>
      </c>
      <c r="AA63" s="263">
        <f t="shared" si="211"/>
        <v>0.12327857972457269</v>
      </c>
      <c r="AB63" s="263">
        <f t="shared" si="211"/>
        <v>0.11369509043927634</v>
      </c>
      <c r="AC63" s="263">
        <f t="shared" si="211"/>
        <v>0.14103722013595099</v>
      </c>
      <c r="AD63" s="263">
        <f t="shared" si="211"/>
        <v>0.13111151803698953</v>
      </c>
      <c r="AE63" s="263">
        <f t="shared" si="211"/>
        <v>0.1177701389926767</v>
      </c>
      <c r="AF63" s="263">
        <v>0.12</v>
      </c>
      <c r="AG63" s="263">
        <v>0.12</v>
      </c>
      <c r="AH63" s="263">
        <f t="shared" si="211"/>
        <v>0.12250239362034683</v>
      </c>
      <c r="AI63" s="263">
        <v>0.13</v>
      </c>
      <c r="AJ63" s="263">
        <v>0.12</v>
      </c>
    </row>
    <row r="64" spans="2:36" x14ac:dyDescent="0.25">
      <c r="B64" s="17" t="s">
        <v>48</v>
      </c>
      <c r="C64" s="43"/>
      <c r="D64" s="12"/>
      <c r="E64" s="44"/>
      <c r="F64" s="44"/>
      <c r="G64" s="44"/>
      <c r="H64" s="44"/>
      <c r="I64" s="63">
        <f>'Raw Input'!I47</f>
        <v>1731.5</v>
      </c>
      <c r="J64" s="63">
        <f>'Raw Input'!J47</f>
        <v>0</v>
      </c>
      <c r="K64" s="63">
        <f>'Raw Input'!K47</f>
        <v>0</v>
      </c>
      <c r="L64" s="63">
        <f>'Raw Input'!L47</f>
        <v>0</v>
      </c>
      <c r="M64" s="63">
        <f>'Raw Input'!M47</f>
        <v>0</v>
      </c>
      <c r="N64" s="63">
        <f>'Raw Input'!N47</f>
        <v>1161.4000000000001</v>
      </c>
      <c r="O64" s="63">
        <f>'Raw Input'!O47</f>
        <v>262.60000000000002</v>
      </c>
      <c r="P64" s="63">
        <f>'Raw Input'!P47</f>
        <v>399.7</v>
      </c>
      <c r="Q64" s="63">
        <f>'Raw Input'!Q47</f>
        <v>402.4</v>
      </c>
      <c r="R64" s="63">
        <f>'Raw Input'!R47</f>
        <v>349.50000000000011</v>
      </c>
      <c r="S64" s="63">
        <f>'Raw Input'!S47</f>
        <v>1414.2</v>
      </c>
      <c r="T64" s="63">
        <f>'Raw Input'!T47</f>
        <v>220.3</v>
      </c>
      <c r="U64" s="63">
        <f>'Raw Input'!U47</f>
        <v>389.3</v>
      </c>
      <c r="V64" s="63">
        <f>'Raw Input'!V47</f>
        <v>412.2</v>
      </c>
      <c r="W64" s="63">
        <f>'Raw Input'!W47</f>
        <v>321.60000000000008</v>
      </c>
      <c r="X64" s="63">
        <f>'Raw Input'!X47</f>
        <v>1343.4</v>
      </c>
      <c r="Y64" s="63">
        <f>'Raw Input'!Y47</f>
        <v>290.5</v>
      </c>
      <c r="Z64" s="63">
        <f>'Raw Input'!Z47</f>
        <v>421.3</v>
      </c>
      <c r="AA64" s="63">
        <f>'Raw Input'!AA47</f>
        <v>506.2</v>
      </c>
      <c r="AB64" s="63">
        <f>'Raw Input'!AB47</f>
        <v>537.5</v>
      </c>
      <c r="AC64" s="63">
        <f>'Raw Input'!AC47</f>
        <v>1755.5</v>
      </c>
      <c r="AD64" s="63">
        <f>'Raw Input'!AD47</f>
        <v>458.9</v>
      </c>
      <c r="AE64" s="63">
        <f>'Raw Input'!AE47</f>
        <v>590.70000000000005</v>
      </c>
      <c r="AF64" s="63">
        <f>AF53+AF58-AF61</f>
        <v>633.67979680000019</v>
      </c>
      <c r="AG64" s="63">
        <f>AG53+AG58-AG61</f>
        <v>527.14940799999999</v>
      </c>
      <c r="AH64" s="258">
        <f>SUM(AD64:AG64)</f>
        <v>2210.4292047999998</v>
      </c>
      <c r="AI64" s="63">
        <f>AI56+AI58-AI61</f>
        <v>2392.5339617950003</v>
      </c>
      <c r="AJ64" s="63">
        <f>AJ56+AJ58-AJ61</f>
        <v>2683.2382287909595</v>
      </c>
    </row>
    <row r="65" spans="2:36" x14ac:dyDescent="0.25">
      <c r="B65" s="64" t="s">
        <v>61</v>
      </c>
      <c r="C65" s="30"/>
      <c r="E65" s="31"/>
      <c r="F65" s="31"/>
      <c r="G65" s="31"/>
      <c r="H65" s="31"/>
      <c r="I65" s="262"/>
      <c r="J65" s="262"/>
      <c r="K65" s="262"/>
      <c r="L65" s="262"/>
      <c r="M65" s="262"/>
      <c r="N65" s="263">
        <f>N64/I64-1</f>
        <v>-0.32925209356049667</v>
      </c>
      <c r="O65" s="263" t="e">
        <f t="shared" ref="O65" si="212">O64/J64-1</f>
        <v>#DIV/0!</v>
      </c>
      <c r="P65" s="263" t="e">
        <f t="shared" ref="P65" si="213">P64/K64-1</f>
        <v>#DIV/0!</v>
      </c>
      <c r="Q65" s="263" t="e">
        <f t="shared" ref="Q65" si="214">Q64/L64-1</f>
        <v>#DIV/0!</v>
      </c>
      <c r="R65" s="263" t="e">
        <f t="shared" ref="R65" si="215">R64/M64-1</f>
        <v>#DIV/0!</v>
      </c>
      <c r="S65" s="263">
        <f t="shared" ref="S65" si="216">S64/N64-1</f>
        <v>0.21766833132426378</v>
      </c>
      <c r="T65" s="263">
        <f t="shared" ref="T65" si="217">T64/O64-1</f>
        <v>-0.1610814927646611</v>
      </c>
      <c r="U65" s="263">
        <f t="shared" ref="U65" si="218">U64/P64-1</f>
        <v>-2.6019514635976959E-2</v>
      </c>
      <c r="V65" s="263">
        <f t="shared" ref="V65" si="219">V64/Q64-1</f>
        <v>2.4353876739562574E-2</v>
      </c>
      <c r="W65" s="263">
        <f>W64/R64-1</f>
        <v>-7.9828326180257592E-2</v>
      </c>
      <c r="X65" s="263">
        <f t="shared" ref="X65" si="220">X64/S64-1</f>
        <v>-5.0063640220619376E-2</v>
      </c>
      <c r="Y65" s="263">
        <f t="shared" ref="Y65" si="221">Y64/T64-1</f>
        <v>0.31865637766681787</v>
      </c>
      <c r="Z65" s="263">
        <f t="shared" ref="Z65" si="222">Z64/U64-1</f>
        <v>8.2198818391985506E-2</v>
      </c>
      <c r="AA65" s="263">
        <f t="shared" ref="AA65" si="223">AA64/V64-1</f>
        <v>0.22804463852498791</v>
      </c>
      <c r="AB65" s="263">
        <f>AB64/W64-1</f>
        <v>0.67133084577114377</v>
      </c>
      <c r="AC65" s="263">
        <f t="shared" ref="AC65" si="224">AC64/X64-1</f>
        <v>0.30675896977817474</v>
      </c>
      <c r="AD65" s="263">
        <f t="shared" ref="AD65" si="225">AD64/Y64-1</f>
        <v>0.57969018932874339</v>
      </c>
      <c r="AE65" s="263">
        <f t="shared" ref="AE65" si="226">AE64/Z64-1</f>
        <v>0.40208877284595301</v>
      </c>
      <c r="AF65" s="263">
        <f t="shared" ref="AF65" si="227">AF64/AA64-1</f>
        <v>0.25183681706835293</v>
      </c>
      <c r="AG65" s="263">
        <f t="shared" ref="AG65" si="228">AG64/AB64-1</f>
        <v>-1.9256915348837222E-2</v>
      </c>
      <c r="AH65" s="263">
        <f t="shared" ref="AH65" si="229">AH64/AC64-1</f>
        <v>0.25914508960410121</v>
      </c>
      <c r="AI65" s="263">
        <f>AI64/AH64-1</f>
        <v>8.2384342642395358E-2</v>
      </c>
      <c r="AJ65" s="263">
        <f>AJ64/AI64-1</f>
        <v>0.12150476090958318</v>
      </c>
    </row>
    <row r="66" spans="2:36" s="85" customFormat="1" x14ac:dyDescent="0.25">
      <c r="B66" s="64" t="s">
        <v>68</v>
      </c>
      <c r="C66" s="84"/>
      <c r="E66" s="86"/>
      <c r="F66" s="86"/>
      <c r="G66" s="86"/>
      <c r="H66" s="86"/>
      <c r="I66" s="263">
        <f>I64/I$53</f>
        <v>0.88099114684033797</v>
      </c>
      <c r="J66" s="263" t="e">
        <f t="shared" ref="J66:AH66" si="230">J64/J$53</f>
        <v>#DIV/0!</v>
      </c>
      <c r="K66" s="263" t="e">
        <f t="shared" si="230"/>
        <v>#DIV/0!</v>
      </c>
      <c r="L66" s="263" t="e">
        <f t="shared" si="230"/>
        <v>#DIV/0!</v>
      </c>
      <c r="M66" s="263" t="e">
        <f t="shared" si="230"/>
        <v>#DIV/0!</v>
      </c>
      <c r="N66" s="263">
        <f t="shared" si="230"/>
        <v>0.7372563956071857</v>
      </c>
      <c r="O66" s="263">
        <f t="shared" si="230"/>
        <v>0.84682360528861655</v>
      </c>
      <c r="P66" s="263">
        <f t="shared" si="230"/>
        <v>0.85920034393809186</v>
      </c>
      <c r="Q66" s="263">
        <f t="shared" si="230"/>
        <v>0.85236178775683047</v>
      </c>
      <c r="R66" s="263">
        <f t="shared" si="230"/>
        <v>0.77016306743058471</v>
      </c>
      <c r="S66" s="263">
        <f t="shared" si="230"/>
        <v>0.83129555607806294</v>
      </c>
      <c r="T66" s="263">
        <f t="shared" si="230"/>
        <v>0.79073941134242731</v>
      </c>
      <c r="U66" s="263">
        <f t="shared" si="230"/>
        <v>0.90661387983232522</v>
      </c>
      <c r="V66" s="263">
        <f t="shared" si="230"/>
        <v>0.82308306709265278</v>
      </c>
      <c r="W66" s="263">
        <f t="shared" si="230"/>
        <v>0.65074868474302094</v>
      </c>
      <c r="X66" s="263">
        <f t="shared" si="230"/>
        <v>0.78884321785085187</v>
      </c>
      <c r="Y66" s="263">
        <f t="shared" si="230"/>
        <v>0.77240095719223578</v>
      </c>
      <c r="Z66" s="263">
        <f t="shared" si="230"/>
        <v>0.83310263001779683</v>
      </c>
      <c r="AA66" s="263">
        <f t="shared" si="230"/>
        <v>0.83988717438194749</v>
      </c>
      <c r="AB66" s="263">
        <f t="shared" si="230"/>
        <v>0.8680555555555548</v>
      </c>
      <c r="AC66" s="263">
        <f t="shared" si="230"/>
        <v>0.83448210296144909</v>
      </c>
      <c r="AD66" s="263">
        <f t="shared" si="230"/>
        <v>0.84032228529573316</v>
      </c>
      <c r="AE66" s="263">
        <f t="shared" si="230"/>
        <v>0.88282767897175296</v>
      </c>
      <c r="AF66" s="263">
        <f t="shared" si="230"/>
        <v>0.86284334423743203</v>
      </c>
      <c r="AG66" s="263">
        <f t="shared" si="230"/>
        <v>0.85945713355928299</v>
      </c>
      <c r="AH66" s="263">
        <f t="shared" si="230"/>
        <v>0.86752884885819603</v>
      </c>
      <c r="AI66" s="263">
        <f>AI64/AI$53</f>
        <v>0.76476894778495008</v>
      </c>
      <c r="AJ66" s="263">
        <f t="shared" ref="AJ66" si="231">AJ64/AJ$53</f>
        <v>0.74717962570496155</v>
      </c>
    </row>
    <row r="67" spans="2:36" x14ac:dyDescent="0.25">
      <c r="B67" s="17" t="s">
        <v>49</v>
      </c>
      <c r="C67" s="30"/>
      <c r="E67" s="31"/>
      <c r="F67" s="31"/>
      <c r="G67" s="31"/>
      <c r="H67" s="31"/>
      <c r="I67" s="63">
        <f>'Raw Input'!I48</f>
        <v>288.60000000000002</v>
      </c>
      <c r="J67" s="63">
        <f>'Raw Input'!J48</f>
        <v>0</v>
      </c>
      <c r="K67" s="63">
        <f>'Raw Input'!K48</f>
        <v>0</v>
      </c>
      <c r="L67" s="63">
        <f>'Raw Input'!L48</f>
        <v>0</v>
      </c>
      <c r="M67" s="63">
        <f>'Raw Input'!M48</f>
        <v>0</v>
      </c>
      <c r="N67" s="63">
        <f>'Raw Input'!N48</f>
        <v>176.6</v>
      </c>
      <c r="O67" s="63">
        <f>'Raw Input'!O48</f>
        <v>66.099999999999994</v>
      </c>
      <c r="P67" s="63">
        <f>'Raw Input'!P48</f>
        <v>86.1</v>
      </c>
      <c r="Q67" s="63">
        <f>'Raw Input'!Q48</f>
        <v>73.8</v>
      </c>
      <c r="R67" s="63">
        <f>'Raw Input'!R48</f>
        <v>44.199999999999989</v>
      </c>
      <c r="S67" s="63">
        <f>'Raw Input'!S48</f>
        <v>270.2</v>
      </c>
      <c r="T67" s="63">
        <f>'Raw Input'!T48</f>
        <v>45.6</v>
      </c>
      <c r="U67" s="63">
        <f>'Raw Input'!U48</f>
        <v>76.599999999999994</v>
      </c>
      <c r="V67" s="63">
        <f>'Raw Input'!V48</f>
        <v>60.2</v>
      </c>
      <c r="W67" s="63">
        <f>'Raw Input'!W48</f>
        <v>52.100000000000016</v>
      </c>
      <c r="X67" s="63">
        <f>'Raw Input'!X48</f>
        <v>234.5</v>
      </c>
      <c r="Y67" s="63">
        <f>'Raw Input'!Y48</f>
        <v>52.4</v>
      </c>
      <c r="Z67" s="63">
        <f>'Raw Input'!Z48</f>
        <v>86.6</v>
      </c>
      <c r="AA67" s="63">
        <f>'Raw Input'!AA48</f>
        <v>96.8</v>
      </c>
      <c r="AB67" s="63">
        <f>'Raw Input'!AB48</f>
        <v>126.69999999999999</v>
      </c>
      <c r="AC67" s="63">
        <f>'Raw Input'!AC48</f>
        <v>362.5</v>
      </c>
      <c r="AD67" s="63">
        <f>'Raw Input'!AD48</f>
        <v>42.3</v>
      </c>
      <c r="AE67" s="63">
        <f>'Raw Input'!AE48</f>
        <v>95.7</v>
      </c>
      <c r="AF67" s="63">
        <f>AF69*AF53</f>
        <v>102.81724040000005</v>
      </c>
      <c r="AG67" s="63">
        <f>AG69*AG53</f>
        <v>85.869224000000017</v>
      </c>
      <c r="AH67" s="258">
        <f>SUM(AD67:AG67)</f>
        <v>326.68646440000009</v>
      </c>
      <c r="AI67" s="63">
        <f>AI69*AI$53</f>
        <v>406.697233111</v>
      </c>
      <c r="AJ67" s="63">
        <f>AJ69*AJ$53</f>
        <v>466.85021612268042</v>
      </c>
    </row>
    <row r="68" spans="2:36" x14ac:dyDescent="0.25">
      <c r="B68" s="64" t="s">
        <v>61</v>
      </c>
      <c r="C68" s="30"/>
      <c r="E68" s="31"/>
      <c r="F68" s="31"/>
      <c r="G68" s="31"/>
      <c r="H68" s="31"/>
      <c r="I68" s="262"/>
      <c r="J68" s="262"/>
      <c r="K68" s="262"/>
      <c r="L68" s="262"/>
      <c r="M68" s="262"/>
      <c r="N68" s="263">
        <f>N67/I67-1</f>
        <v>-0.38808038808038814</v>
      </c>
      <c r="O68" s="263" t="e">
        <f t="shared" ref="O68" si="232">O67/J67-1</f>
        <v>#DIV/0!</v>
      </c>
      <c r="P68" s="263" t="e">
        <f t="shared" ref="P68" si="233">P67/K67-1</f>
        <v>#DIV/0!</v>
      </c>
      <c r="Q68" s="263" t="e">
        <f t="shared" ref="Q68" si="234">Q67/L67-1</f>
        <v>#DIV/0!</v>
      </c>
      <c r="R68" s="263" t="e">
        <f t="shared" ref="R68" si="235">R67/M67-1</f>
        <v>#DIV/0!</v>
      </c>
      <c r="S68" s="263">
        <f t="shared" ref="S68" si="236">S67/N67-1</f>
        <v>0.5300113250283125</v>
      </c>
      <c r="T68" s="263">
        <f t="shared" ref="T68" si="237">T67/O67-1</f>
        <v>-0.31013615733736755</v>
      </c>
      <c r="U68" s="263">
        <f t="shared" ref="U68" si="238">U67/P67-1</f>
        <v>-0.11033681765389081</v>
      </c>
      <c r="V68" s="263">
        <f t="shared" ref="V68" si="239">V67/Q67-1</f>
        <v>-0.18428184281842808</v>
      </c>
      <c r="W68" s="263">
        <f>W67/R67-1</f>
        <v>0.17873303167420884</v>
      </c>
      <c r="X68" s="263">
        <f t="shared" ref="X68" si="240">X67/S67-1</f>
        <v>-0.13212435233160613</v>
      </c>
      <c r="Y68" s="263">
        <f t="shared" ref="Y68" si="241">Y67/T67-1</f>
        <v>0.14912280701754388</v>
      </c>
      <c r="Z68" s="263">
        <f t="shared" ref="Z68" si="242">Z67/U67-1</f>
        <v>0.13054830287206265</v>
      </c>
      <c r="AA68" s="263">
        <f t="shared" ref="AA68" si="243">AA67/V67-1</f>
        <v>0.60797342192691017</v>
      </c>
      <c r="AB68" s="263">
        <f>AB67/W67-1</f>
        <v>1.4318618042226476</v>
      </c>
      <c r="AC68" s="263">
        <f t="shared" ref="AC68" si="244">AC67/X67-1</f>
        <v>0.54584221748400852</v>
      </c>
      <c r="AD68" s="263">
        <f t="shared" ref="AD68" si="245">AD67/Y67-1</f>
        <v>-0.19274809160305351</v>
      </c>
      <c r="AE68" s="263">
        <f t="shared" ref="AE68" si="246">AE67/Z67-1</f>
        <v>0.10508083140877611</v>
      </c>
      <c r="AF68" s="263">
        <f t="shared" ref="AF68" si="247">AF67/AA67-1</f>
        <v>6.2161574380165785E-2</v>
      </c>
      <c r="AG68" s="263">
        <f t="shared" ref="AG68" si="248">AG67/AB67-1</f>
        <v>-0.32226342541436448</v>
      </c>
      <c r="AH68" s="263">
        <f t="shared" ref="AH68" si="249">AH67/AC67-1</f>
        <v>-9.8795960275861794E-2</v>
      </c>
      <c r="AI68" s="263">
        <f>AI67/AH67-1</f>
        <v>0.24491608141142152</v>
      </c>
      <c r="AJ68" s="263">
        <f>AJ67/AI67-1</f>
        <v>0.1479060542201005</v>
      </c>
    </row>
    <row r="69" spans="2:36" x14ac:dyDescent="0.25">
      <c r="B69" s="64" t="s">
        <v>68</v>
      </c>
      <c r="C69" s="43"/>
      <c r="D69" s="12"/>
      <c r="E69" s="44"/>
      <c r="F69" s="44"/>
      <c r="G69" s="44"/>
      <c r="H69" s="44"/>
      <c r="I69" s="263">
        <f>I67/I$53</f>
        <v>0.14684033784471359</v>
      </c>
      <c r="J69" s="263" t="e">
        <f t="shared" ref="J69:AH69" si="250">J67/J$53</f>
        <v>#DIV/0!</v>
      </c>
      <c r="K69" s="263" t="e">
        <f t="shared" si="250"/>
        <v>#DIV/0!</v>
      </c>
      <c r="L69" s="263" t="e">
        <f t="shared" si="250"/>
        <v>#DIV/0!</v>
      </c>
      <c r="M69" s="263" t="e">
        <f t="shared" si="250"/>
        <v>#DIV/0!</v>
      </c>
      <c r="N69" s="263">
        <f t="shared" si="250"/>
        <v>0.11210563067352246</v>
      </c>
      <c r="O69" s="263">
        <f t="shared" si="250"/>
        <v>0.2131570461141567</v>
      </c>
      <c r="P69" s="263">
        <f t="shared" si="250"/>
        <v>0.18508168529664676</v>
      </c>
      <c r="Q69" s="263">
        <f t="shared" si="250"/>
        <v>0.1563228129633551</v>
      </c>
      <c r="R69" s="263">
        <f t="shared" si="250"/>
        <v>9.7399735566328541E-2</v>
      </c>
      <c r="S69" s="263">
        <f t="shared" si="250"/>
        <v>0.15882906183870216</v>
      </c>
      <c r="T69" s="263">
        <f t="shared" si="250"/>
        <v>0.16367552045944025</v>
      </c>
      <c r="U69" s="263">
        <f t="shared" si="250"/>
        <v>0.1783884489986029</v>
      </c>
      <c r="V69" s="263">
        <f t="shared" si="250"/>
        <v>0.12020766773162955</v>
      </c>
      <c r="W69" s="263">
        <f t="shared" si="250"/>
        <v>0.10542290570619214</v>
      </c>
      <c r="X69" s="263">
        <f t="shared" si="250"/>
        <v>0.13769817968291259</v>
      </c>
      <c r="Y69" s="263">
        <f t="shared" si="250"/>
        <v>0.13932464770007971</v>
      </c>
      <c r="Z69" s="263">
        <f t="shared" si="250"/>
        <v>0.17124777536088584</v>
      </c>
      <c r="AA69" s="263">
        <f t="shared" si="250"/>
        <v>0.16061058569769363</v>
      </c>
      <c r="AB69" s="263">
        <f t="shared" si="250"/>
        <v>0.20461886304909543</v>
      </c>
      <c r="AC69" s="263">
        <f t="shared" si="250"/>
        <v>0.17231544421733141</v>
      </c>
      <c r="AD69" s="263">
        <f t="shared" si="250"/>
        <v>7.7458340963193525E-2</v>
      </c>
      <c r="AE69" s="263">
        <f t="shared" si="250"/>
        <v>0.14302794798983706</v>
      </c>
      <c r="AF69" s="263">
        <v>0.14000000000000001</v>
      </c>
      <c r="AG69" s="263">
        <v>0.14000000000000001</v>
      </c>
      <c r="AH69" s="263">
        <f t="shared" si="250"/>
        <v>0.12821488776164136</v>
      </c>
      <c r="AI69" s="263">
        <v>0.13</v>
      </c>
      <c r="AJ69" s="263">
        <v>0.13</v>
      </c>
    </row>
    <row r="70" spans="2:36" s="12" customFormat="1" x14ac:dyDescent="0.25">
      <c r="B70" s="12" t="s">
        <v>50</v>
      </c>
      <c r="C70" s="43"/>
      <c r="E70" s="44"/>
      <c r="F70" s="44"/>
      <c r="G70" s="44"/>
      <c r="H70" s="44"/>
      <c r="I70" s="63">
        <f>'Raw Input'!I52</f>
        <v>1558.9</v>
      </c>
      <c r="J70" s="63">
        <f>'Raw Input'!J52</f>
        <v>0</v>
      </c>
      <c r="K70" s="63">
        <f>'Raw Input'!K52</f>
        <v>0</v>
      </c>
      <c r="L70" s="63">
        <f>'Raw Input'!L52</f>
        <v>0</v>
      </c>
      <c r="M70" s="63">
        <f>'Raw Input'!M52</f>
        <v>0</v>
      </c>
      <c r="N70" s="63">
        <f>'Raw Input'!N52</f>
        <v>-1205.0999999999999</v>
      </c>
      <c r="O70" s="63">
        <f>'Raw Input'!O52</f>
        <v>193.6</v>
      </c>
      <c r="P70" s="63">
        <f>'Raw Input'!P52</f>
        <v>310.8</v>
      </c>
      <c r="Q70" s="63">
        <f>'Raw Input'!Q52</f>
        <v>324.5</v>
      </c>
      <c r="R70" s="63">
        <f>'Raw Input'!R52</f>
        <v>301.00000000000011</v>
      </c>
      <c r="S70" s="63">
        <f>'Raw Input'!S52</f>
        <v>1129.9000000000001</v>
      </c>
      <c r="T70" s="63">
        <f>'Raw Input'!T52</f>
        <v>171.9</v>
      </c>
      <c r="U70" s="63">
        <f>'Raw Input'!U52</f>
        <v>308.3</v>
      </c>
      <c r="V70" s="63">
        <f>'Raw Input'!V52</f>
        <v>347.1</v>
      </c>
      <c r="W70" s="63">
        <f>'Raw Input'!W52</f>
        <v>264.39999999999998</v>
      </c>
      <c r="X70" s="63">
        <f>'Raw Input'!X52</f>
        <v>1091.7</v>
      </c>
      <c r="Y70" s="63">
        <f>'Raw Input'!Y52</f>
        <v>233.4</v>
      </c>
      <c r="Z70" s="63">
        <f>'Raw Input'!Z52</f>
        <v>329.7</v>
      </c>
      <c r="AA70" s="63">
        <f>'Raw Input'!AA52</f>
        <v>404</v>
      </c>
      <c r="AB70" s="63">
        <f>'Raw Input'!AB52</f>
        <v>405.19999999999993</v>
      </c>
      <c r="AC70" s="63">
        <f>'Raw Input'!AC52</f>
        <v>1372.3</v>
      </c>
      <c r="AD70" s="63">
        <f>'Raw Input'!AD52</f>
        <v>412.1</v>
      </c>
      <c r="AE70" s="63">
        <f>'Raw Input'!AE52</f>
        <v>490.9</v>
      </c>
      <c r="AF70" s="63">
        <f>AF64-AF67</f>
        <v>530.86255640000013</v>
      </c>
      <c r="AG70" s="63">
        <f>AG64-AG67</f>
        <v>441.28018399999996</v>
      </c>
      <c r="AH70" s="258">
        <f>SUM(AD70:AG70)</f>
        <v>1875.1427404000001</v>
      </c>
      <c r="AI70" s="63">
        <f>AI64-AI67</f>
        <v>1985.8367286840003</v>
      </c>
      <c r="AJ70" s="63">
        <f>AJ64-AJ67</f>
        <v>2216.3880126682789</v>
      </c>
    </row>
    <row r="71" spans="2:36" s="12" customFormat="1" x14ac:dyDescent="0.25">
      <c r="B71" s="64" t="s">
        <v>61</v>
      </c>
      <c r="C71" s="43"/>
      <c r="E71" s="44"/>
      <c r="F71" s="44"/>
      <c r="G71" s="44"/>
      <c r="H71" s="44"/>
      <c r="I71" s="262"/>
      <c r="J71" s="262"/>
      <c r="K71" s="262"/>
      <c r="L71" s="262"/>
      <c r="M71" s="262"/>
      <c r="N71" s="263">
        <f>N70/I70-1</f>
        <v>-1.7730450959009558</v>
      </c>
      <c r="O71" s="263" t="e">
        <f t="shared" ref="O71" si="251">O70/J70-1</f>
        <v>#DIV/0!</v>
      </c>
      <c r="P71" s="263" t="e">
        <f t="shared" ref="P71" si="252">P70/K70-1</f>
        <v>#DIV/0!</v>
      </c>
      <c r="Q71" s="263" t="e">
        <f t="shared" ref="Q71" si="253">Q70/L70-1</f>
        <v>#DIV/0!</v>
      </c>
      <c r="R71" s="263" t="e">
        <f t="shared" ref="R71" si="254">R70/M70-1</f>
        <v>#DIV/0!</v>
      </c>
      <c r="S71" s="263">
        <f t="shared" ref="S71" si="255">S70/N70-1</f>
        <v>-1.9375985395402873</v>
      </c>
      <c r="T71" s="263">
        <f t="shared" ref="T71" si="256">T70/O70-1</f>
        <v>-0.11208677685950408</v>
      </c>
      <c r="U71" s="263">
        <f t="shared" ref="U71" si="257">U70/P70-1</f>
        <v>-8.0437580437580092E-3</v>
      </c>
      <c r="V71" s="263">
        <f t="shared" ref="V71" si="258">V70/Q70-1</f>
        <v>6.964560862865965E-2</v>
      </c>
      <c r="W71" s="263">
        <f>W70/R70-1</f>
        <v>-0.12159468438538246</v>
      </c>
      <c r="X71" s="263">
        <f t="shared" ref="X71" si="259">X70/S70-1</f>
        <v>-3.3808301619612346E-2</v>
      </c>
      <c r="Y71" s="263">
        <f t="shared" ref="Y71" si="260">Y70/T70-1</f>
        <v>0.35776614310645716</v>
      </c>
      <c r="Z71" s="263">
        <f t="shared" ref="Z71" si="261">Z70/U70-1</f>
        <v>6.9412909503730136E-2</v>
      </c>
      <c r="AA71" s="263">
        <f t="shared" ref="AA71" si="262">AA70/V70-1</f>
        <v>0.16392970325554579</v>
      </c>
      <c r="AB71" s="263">
        <f>AB70/W70-1</f>
        <v>0.53252647503782136</v>
      </c>
      <c r="AC71" s="263">
        <f t="shared" ref="AC71" si="263">AC70/X70-1</f>
        <v>0.25703031968489509</v>
      </c>
      <c r="AD71" s="263">
        <f t="shared" ref="AD71" si="264">AD70/Y70-1</f>
        <v>0.76563838903170534</v>
      </c>
      <c r="AE71" s="263">
        <f t="shared" ref="AE71" si="265">AE70/Z70-1</f>
        <v>0.48892932969366099</v>
      </c>
      <c r="AF71" s="263">
        <f t="shared" ref="AF71" si="266">AF70/AA70-1</f>
        <v>0.3140162287128716</v>
      </c>
      <c r="AG71" s="263">
        <f t="shared" ref="AG71" si="267">AG70/AB70-1</f>
        <v>8.9042902270483726E-2</v>
      </c>
      <c r="AH71" s="263">
        <f t="shared" ref="AH71" si="268">AH70/AC70-1</f>
        <v>0.3664233333819138</v>
      </c>
      <c r="AI71" s="263">
        <f>AI70/AH70-1</f>
        <v>5.9032299727959536E-2</v>
      </c>
      <c r="AJ71" s="263">
        <f>AJ70/AI70-1</f>
        <v>0.1160978043431915</v>
      </c>
    </row>
    <row r="72" spans="2:36" x14ac:dyDescent="0.25">
      <c r="B72" s="83" t="s">
        <v>69</v>
      </c>
      <c r="C72" s="30"/>
      <c r="E72" s="31"/>
      <c r="F72" s="31"/>
      <c r="G72" s="31"/>
      <c r="H72" s="31"/>
      <c r="I72" s="265">
        <f>I70/I$34</f>
        <v>0.1240964814519981</v>
      </c>
      <c r="J72" s="265" t="e">
        <f t="shared" ref="J72:AJ72" si="269">J70/J$34</f>
        <v>#DIV/0!</v>
      </c>
      <c r="K72" s="265" t="e">
        <f t="shared" si="269"/>
        <v>#DIV/0!</v>
      </c>
      <c r="L72" s="265" t="e">
        <f t="shared" si="269"/>
        <v>#DIV/0!</v>
      </c>
      <c r="M72" s="265" t="e">
        <f t="shared" si="269"/>
        <v>#DIV/0!</v>
      </c>
      <c r="N72" s="265">
        <f t="shared" si="269"/>
        <v>-0.10221200658173736</v>
      </c>
      <c r="O72" s="265">
        <f t="shared" si="269"/>
        <v>6.710571923743501E-2</v>
      </c>
      <c r="P72" s="265">
        <f t="shared" si="269"/>
        <v>9.8276679841897252E-2</v>
      </c>
      <c r="Q72" s="265">
        <f t="shared" si="269"/>
        <v>9.7717417489761496E-2</v>
      </c>
      <c r="R72" s="265">
        <f t="shared" si="269"/>
        <v>8.9455539705183107E-2</v>
      </c>
      <c r="S72" s="265">
        <f t="shared" si="269"/>
        <v>8.8737228169102594E-2</v>
      </c>
      <c r="T72" s="265">
        <f t="shared" si="269"/>
        <v>5.2621912021305908E-2</v>
      </c>
      <c r="U72" s="265">
        <f t="shared" si="269"/>
        <v>8.6102887784170273E-2</v>
      </c>
      <c r="V72" s="265">
        <f t="shared" si="269"/>
        <v>9.4595699452211621E-2</v>
      </c>
      <c r="W72" s="265">
        <f t="shared" si="269"/>
        <v>7.2020047940727819E-2</v>
      </c>
      <c r="X72" s="265">
        <f t="shared" si="269"/>
        <v>7.6946390560904451E-2</v>
      </c>
      <c r="Y72" s="265">
        <f t="shared" si="269"/>
        <v>6.534886325456378E-2</v>
      </c>
      <c r="Z72" s="265">
        <f t="shared" si="269"/>
        <v>8.5589678357259669E-2</v>
      </c>
      <c r="AA72" s="265">
        <f t="shared" si="269"/>
        <v>0.10206917460397665</v>
      </c>
      <c r="AB72" s="265">
        <f t="shared" si="269"/>
        <v>0.10288442006906354</v>
      </c>
      <c r="AC72" s="265">
        <f t="shared" si="269"/>
        <v>8.9574548635135309E-2</v>
      </c>
      <c r="AD72" s="265">
        <f t="shared" si="269"/>
        <v>0.10983768224099789</v>
      </c>
      <c r="AE72" s="265">
        <f t="shared" si="269"/>
        <v>0.12316222590195192</v>
      </c>
      <c r="AF72" s="265">
        <f t="shared" si="269"/>
        <v>0.13116497398629062</v>
      </c>
      <c r="AG72" s="265">
        <f t="shared" si="269"/>
        <v>0.11449511019319482</v>
      </c>
      <c r="AH72" s="265">
        <f t="shared" si="269"/>
        <v>0.11990071444515868</v>
      </c>
      <c r="AI72" s="265">
        <f t="shared" si="269"/>
        <v>0.1207717870371761</v>
      </c>
      <c r="AJ72" s="265">
        <f t="shared" si="269"/>
        <v>0.12799534804128804</v>
      </c>
    </row>
    <row r="73" spans="2:36" s="268" customFormat="1" x14ac:dyDescent="0.25">
      <c r="B73" s="70" t="s">
        <v>62</v>
      </c>
      <c r="C73" s="267"/>
      <c r="E73" s="269"/>
      <c r="F73" s="269"/>
      <c r="G73" s="269"/>
      <c r="H73" s="269"/>
      <c r="I73" s="270">
        <v>1709.4</v>
      </c>
      <c r="J73" s="270"/>
      <c r="K73" s="270"/>
      <c r="L73" s="270"/>
      <c r="M73" s="270"/>
      <c r="N73" s="270">
        <v>1166.9000000000001</v>
      </c>
      <c r="O73" s="270"/>
      <c r="P73" s="270"/>
      <c r="Q73" s="270"/>
      <c r="R73" s="270"/>
      <c r="S73" s="270">
        <v>1366.4</v>
      </c>
      <c r="T73" s="270"/>
      <c r="U73" s="270"/>
      <c r="V73" s="270"/>
      <c r="W73" s="270"/>
      <c r="X73" s="270">
        <v>1283</v>
      </c>
      <c r="Y73" s="270"/>
      <c r="Z73" s="270"/>
      <c r="AA73" s="270"/>
      <c r="AB73" s="270"/>
      <c r="AC73" s="270">
        <v>1479</v>
      </c>
      <c r="AD73" s="270"/>
      <c r="AE73" s="270"/>
      <c r="AF73" s="270"/>
      <c r="AG73" s="270"/>
      <c r="AH73" s="270">
        <v>1907.3</v>
      </c>
      <c r="AI73" s="270">
        <v>2129.4</v>
      </c>
      <c r="AJ73" s="270">
        <v>2380.83</v>
      </c>
    </row>
    <row r="74" spans="2:36" x14ac:dyDescent="0.25">
      <c r="B74" s="83"/>
      <c r="C74" s="30"/>
      <c r="E74" s="31"/>
      <c r="F74" s="31"/>
      <c r="G74" s="31"/>
      <c r="H74" s="31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</row>
    <row r="75" spans="2:36" s="12" customFormat="1" x14ac:dyDescent="0.25">
      <c r="B75" s="66" t="s">
        <v>232</v>
      </c>
      <c r="C75" s="67"/>
      <c r="D75" s="66"/>
      <c r="E75" s="68"/>
      <c r="F75" s="68"/>
      <c r="G75" s="68"/>
      <c r="H75" s="68"/>
      <c r="I75" s="260">
        <f t="shared" ref="I75:AG75" si="270">I53+I102+I103</f>
        <v>2740.6999999999994</v>
      </c>
      <c r="J75" s="260">
        <f t="shared" si="270"/>
        <v>0</v>
      </c>
      <c r="K75" s="260">
        <f t="shared" si="270"/>
        <v>0</v>
      </c>
      <c r="L75" s="260">
        <f t="shared" si="270"/>
        <v>0</v>
      </c>
      <c r="M75" s="260">
        <f t="shared" si="270"/>
        <v>0</v>
      </c>
      <c r="N75" s="260">
        <f t="shared" si="270"/>
        <v>2388.0000000000005</v>
      </c>
      <c r="O75" s="260">
        <f t="shared" si="270"/>
        <v>310.10000000000002</v>
      </c>
      <c r="P75" s="260">
        <f t="shared" si="270"/>
        <v>465.19999999999959</v>
      </c>
      <c r="Q75" s="260">
        <f t="shared" si="270"/>
        <v>472.10000000000036</v>
      </c>
      <c r="R75" s="260">
        <f t="shared" si="270"/>
        <v>453.80000000000098</v>
      </c>
      <c r="S75" s="260">
        <f t="shared" si="270"/>
        <v>2544.2999999999993</v>
      </c>
      <c r="T75" s="260">
        <f t="shared" si="270"/>
        <v>278.59999999999968</v>
      </c>
      <c r="U75" s="260">
        <f t="shared" si="270"/>
        <v>429.39999999999952</v>
      </c>
      <c r="V75" s="260">
        <f t="shared" si="270"/>
        <v>500.79999999999939</v>
      </c>
      <c r="W75" s="260">
        <f t="shared" si="270"/>
        <v>494.19999999999868</v>
      </c>
      <c r="X75" s="260">
        <f t="shared" si="270"/>
        <v>2641.6999999999989</v>
      </c>
      <c r="Y75" s="260">
        <f t="shared" si="270"/>
        <v>376.10000000000014</v>
      </c>
      <c r="Z75" s="260">
        <f t="shared" si="270"/>
        <v>505.70000000000016</v>
      </c>
      <c r="AA75" s="260">
        <f t="shared" si="270"/>
        <v>602.70000000000027</v>
      </c>
      <c r="AB75" s="260">
        <f t="shared" si="270"/>
        <v>619.2000000000005</v>
      </c>
      <c r="AC75" s="260">
        <f t="shared" si="270"/>
        <v>3027.2999999999997</v>
      </c>
      <c r="AD75" s="260">
        <f t="shared" si="270"/>
        <v>546.10000000000014</v>
      </c>
      <c r="AE75" s="260">
        <f t="shared" si="270"/>
        <v>669.10000000000014</v>
      </c>
      <c r="AF75" s="260">
        <f t="shared" si="270"/>
        <v>734.40886000000023</v>
      </c>
      <c r="AG75" s="260">
        <f t="shared" si="270"/>
        <v>613.35160000000008</v>
      </c>
      <c r="AH75" s="260">
        <f>AH53+AH104</f>
        <v>3482.2604600000004</v>
      </c>
      <c r="AI75" s="260">
        <f>AI53+AI104</f>
        <v>4073.3402547000001</v>
      </c>
      <c r="AJ75" s="260">
        <f>AJ53+AJ104</f>
        <v>4502.9555086360033</v>
      </c>
    </row>
    <row r="76" spans="2:36" x14ac:dyDescent="0.25">
      <c r="B76" s="64" t="s">
        <v>61</v>
      </c>
      <c r="I76" s="262"/>
      <c r="J76" s="262"/>
      <c r="K76" s="262"/>
      <c r="L76" s="262"/>
      <c r="M76" s="262"/>
      <c r="N76" s="263">
        <f>N75/I75-1</f>
        <v>-0.12868975079359246</v>
      </c>
      <c r="O76" s="263" t="e">
        <f t="shared" ref="O76" si="271">O75/J75-1</f>
        <v>#DIV/0!</v>
      </c>
      <c r="P76" s="263" t="e">
        <f t="shared" ref="P76" si="272">P75/K75-1</f>
        <v>#DIV/0!</v>
      </c>
      <c r="Q76" s="263" t="e">
        <f t="shared" ref="Q76" si="273">Q75/L75-1</f>
        <v>#DIV/0!</v>
      </c>
      <c r="R76" s="263" t="e">
        <f t="shared" ref="R76" si="274">R75/M75-1</f>
        <v>#DIV/0!</v>
      </c>
      <c r="S76" s="263">
        <f t="shared" ref="S76" si="275">S75/N75-1</f>
        <v>6.5452261306532256E-2</v>
      </c>
      <c r="T76" s="263">
        <f t="shared" ref="T76" si="276">T75/O75-1</f>
        <v>-0.10158013544018163</v>
      </c>
      <c r="U76" s="263">
        <f t="shared" ref="U76" si="277">U75/P75-1</f>
        <v>-7.6956147893379456E-2</v>
      </c>
      <c r="V76" s="263">
        <f t="shared" ref="V76" si="278">V75/Q75-1</f>
        <v>6.0792205041302783E-2</v>
      </c>
      <c r="W76" s="263">
        <f>W75/R75-1</f>
        <v>8.902600264433147E-2</v>
      </c>
      <c r="X76" s="263">
        <f t="shared" ref="X76" si="279">X75/S75-1</f>
        <v>3.8281649176590715E-2</v>
      </c>
      <c r="Y76" s="263">
        <f t="shared" ref="Y76" si="280">Y75/T75-1</f>
        <v>0.34996410624551522</v>
      </c>
      <c r="Z76" s="263">
        <f t="shared" ref="Z76" si="281">Z75/U75-1</f>
        <v>0.177689799720542</v>
      </c>
      <c r="AA76" s="263">
        <f t="shared" ref="AA76" si="282">AA75/V75-1</f>
        <v>0.20347444089457078</v>
      </c>
      <c r="AB76" s="263">
        <f>AB75/W75-1</f>
        <v>0.25293403480372745</v>
      </c>
      <c r="AC76" s="263">
        <f t="shared" ref="AC76" si="283">AC75/X75-1</f>
        <v>0.1459666124086767</v>
      </c>
      <c r="AD76" s="263">
        <f t="shared" ref="AD76" si="284">AD75/Y75-1</f>
        <v>0.45200744482850297</v>
      </c>
      <c r="AE76" s="263">
        <f t="shared" ref="AE76" si="285">AE75/Z75-1</f>
        <v>0.32311647221672923</v>
      </c>
      <c r="AF76" s="263">
        <f t="shared" ref="AF76" si="286">AF75/AA75-1</f>
        <v>0.21853137547701995</v>
      </c>
      <c r="AG76" s="263">
        <f t="shared" ref="AG76" si="287">AG75/AB75-1</f>
        <v>-9.445090439277215E-3</v>
      </c>
      <c r="AH76" s="263">
        <f>AH75/AC75-1</f>
        <v>0.15028588511214647</v>
      </c>
      <c r="AI76" s="263">
        <f>AI75/AH75-1</f>
        <v>0.1697402596645512</v>
      </c>
      <c r="AJ76" s="263">
        <f>AJ75/AI75-1</f>
        <v>0.10547001406040013</v>
      </c>
    </row>
    <row r="77" spans="2:36" x14ac:dyDescent="0.25">
      <c r="B77" s="83" t="s">
        <v>71</v>
      </c>
      <c r="I77" s="265">
        <f>I75/I$34</f>
        <v>0.21817385766597672</v>
      </c>
      <c r="J77" s="265" t="e">
        <f t="shared" ref="J77:AJ77" si="288">J75/J$34</f>
        <v>#DIV/0!</v>
      </c>
      <c r="K77" s="265" t="e">
        <f t="shared" si="288"/>
        <v>#DIV/0!</v>
      </c>
      <c r="L77" s="265" t="e">
        <f t="shared" si="288"/>
        <v>#DIV/0!</v>
      </c>
      <c r="M77" s="265" t="e">
        <f t="shared" si="288"/>
        <v>#DIV/0!</v>
      </c>
      <c r="N77" s="265">
        <f t="shared" si="288"/>
        <v>0.20254109345049282</v>
      </c>
      <c r="O77" s="265">
        <f t="shared" si="288"/>
        <v>0.10748700173310226</v>
      </c>
      <c r="P77" s="265">
        <f t="shared" si="288"/>
        <v>0.14709881422924889</v>
      </c>
      <c r="Q77" s="265">
        <f t="shared" si="288"/>
        <v>0.14216453866538195</v>
      </c>
      <c r="R77" s="265">
        <f t="shared" si="288"/>
        <v>0.13486685687113675</v>
      </c>
      <c r="S77" s="265">
        <f t="shared" si="288"/>
        <v>0.19981779770833494</v>
      </c>
      <c r="T77" s="265">
        <f t="shared" si="288"/>
        <v>8.5284844032203655E-2</v>
      </c>
      <c r="U77" s="265">
        <f t="shared" si="288"/>
        <v>0.11992403507791978</v>
      </c>
      <c r="V77" s="265">
        <f t="shared" si="288"/>
        <v>0.13648379799961832</v>
      </c>
      <c r="W77" s="265">
        <f t="shared" si="288"/>
        <v>0.13461538461538428</v>
      </c>
      <c r="X77" s="265">
        <f t="shared" si="288"/>
        <v>0.18619518177589189</v>
      </c>
      <c r="Y77" s="265">
        <f t="shared" si="288"/>
        <v>0.10530294545861803</v>
      </c>
      <c r="Z77" s="265">
        <f t="shared" si="288"/>
        <v>0.1312790426001402</v>
      </c>
      <c r="AA77" s="265">
        <f t="shared" si="288"/>
        <v>0.15227002854905136</v>
      </c>
      <c r="AB77" s="265">
        <f t="shared" si="288"/>
        <v>0.15722120658135291</v>
      </c>
      <c r="AC77" s="265">
        <f t="shared" si="288"/>
        <v>0.19760185898356417</v>
      </c>
      <c r="AD77" s="265">
        <f t="shared" si="288"/>
        <v>0.1455529198539407</v>
      </c>
      <c r="AE77" s="265">
        <f t="shared" si="288"/>
        <v>0.16787094184354462</v>
      </c>
      <c r="AF77" s="265">
        <f t="shared" si="288"/>
        <v>0.18145698515722505</v>
      </c>
      <c r="AG77" s="265">
        <f t="shared" si="288"/>
        <v>0.15914097567810198</v>
      </c>
      <c r="AH77" s="265">
        <f t="shared" si="288"/>
        <v>0.22266332479257639</v>
      </c>
      <c r="AI77" s="265">
        <f t="shared" si="288"/>
        <v>0.24772660041220668</v>
      </c>
      <c r="AJ77" s="265">
        <f t="shared" si="288"/>
        <v>0.26004352768919364</v>
      </c>
    </row>
    <row r="78" spans="2:36" x14ac:dyDescent="0.25">
      <c r="B78" s="70" t="s">
        <v>62</v>
      </c>
      <c r="C78" s="267"/>
      <c r="D78" s="268"/>
      <c r="E78" s="269"/>
      <c r="F78" s="269"/>
      <c r="G78" s="269"/>
      <c r="H78" s="269"/>
      <c r="I78" s="270">
        <v>3263.7</v>
      </c>
      <c r="J78" s="270"/>
      <c r="K78" s="270"/>
      <c r="L78" s="270"/>
      <c r="M78" s="270"/>
      <c r="N78" s="270">
        <v>2451.9</v>
      </c>
      <c r="O78" s="270"/>
      <c r="P78" s="270"/>
      <c r="Q78" s="270"/>
      <c r="R78" s="270"/>
      <c r="S78" s="270">
        <v>2675.4</v>
      </c>
      <c r="T78" s="270"/>
      <c r="U78" s="270"/>
      <c r="V78" s="270"/>
      <c r="W78" s="270"/>
      <c r="X78" s="270">
        <v>2742.1</v>
      </c>
      <c r="Y78" s="270"/>
      <c r="Z78" s="270"/>
      <c r="AA78" s="270"/>
      <c r="AB78" s="270"/>
      <c r="AC78" s="270">
        <v>3039</v>
      </c>
      <c r="AD78" s="270"/>
      <c r="AE78" s="270"/>
      <c r="AF78" s="270"/>
      <c r="AG78" s="270"/>
      <c r="AH78" s="270">
        <v>3562.9</v>
      </c>
      <c r="AI78" s="270">
        <v>3821.7</v>
      </c>
      <c r="AJ78" s="270">
        <v>4147.5</v>
      </c>
    </row>
    <row r="79" spans="2:36" x14ac:dyDescent="0.25">
      <c r="B79" s="8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</row>
    <row r="80" spans="2:36" x14ac:dyDescent="0.25">
      <c r="B80" s="12" t="s">
        <v>51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</row>
    <row r="81" spans="2:36" x14ac:dyDescent="0.25">
      <c r="B81" s="17" t="s">
        <v>52</v>
      </c>
      <c r="I81" s="87">
        <f>'Raw Input'!I55</f>
        <v>5.41</v>
      </c>
      <c r="J81" s="87">
        <f>'Raw Input'!J55</f>
        <v>0</v>
      </c>
      <c r="K81" s="87">
        <f>'Raw Input'!K55</f>
        <v>0</v>
      </c>
      <c r="L81" s="87">
        <f>'Raw Input'!L55</f>
        <v>0</v>
      </c>
      <c r="M81" s="87">
        <f>'Raw Input'!M55</f>
        <v>0</v>
      </c>
      <c r="N81" s="87">
        <f>'Raw Input'!N55</f>
        <v>-4.2</v>
      </c>
      <c r="O81" s="87">
        <f>'Raw Input'!O55</f>
        <v>0.68</v>
      </c>
      <c r="P81" s="87">
        <f>'Raw Input'!P55</f>
        <v>1.0900000000000001</v>
      </c>
      <c r="Q81" s="87">
        <f>'Raw Input'!Q55</f>
        <v>1.1299999999999999</v>
      </c>
      <c r="R81" s="87">
        <f>'Raw Input'!R55</f>
        <v>1.0500000000000003</v>
      </c>
      <c r="S81" s="87">
        <f>'Raw Input'!S55</f>
        <v>3.95</v>
      </c>
      <c r="T81" s="87">
        <f>'Raw Input'!T55</f>
        <v>0.6</v>
      </c>
      <c r="U81" s="87">
        <f>'Raw Input'!U55</f>
        <v>1.08</v>
      </c>
      <c r="V81" s="87">
        <f>'Raw Input'!V55</f>
        <v>1.22</v>
      </c>
      <c r="W81" s="87">
        <f>'Raw Input'!W55</f>
        <v>0.93000000000000027</v>
      </c>
      <c r="X81" s="87">
        <f>'Raw Input'!X55</f>
        <v>3.83</v>
      </c>
      <c r="Y81" s="87">
        <f>'Raw Input'!Y55</f>
        <v>0.82</v>
      </c>
      <c r="Z81" s="87">
        <f>'Raw Input'!Z55</f>
        <v>1.1599999999999999</v>
      </c>
      <c r="AA81" s="87">
        <f>'Raw Input'!AA55</f>
        <v>1.42</v>
      </c>
      <c r="AB81" s="87">
        <f>'Raw Input'!AB55</f>
        <v>1.4200000000000004</v>
      </c>
      <c r="AC81" s="87">
        <f>'Raw Input'!AC55</f>
        <v>4.82</v>
      </c>
      <c r="AD81" s="87">
        <f>'Raw Input'!AD55</f>
        <v>1.44</v>
      </c>
      <c r="AE81" s="87">
        <f>'Raw Input'!AE55</f>
        <v>1.72</v>
      </c>
      <c r="AF81" s="87">
        <f>AF70/AF87</f>
        <v>1.8652935924104008</v>
      </c>
      <c r="AG81" s="87">
        <f>AG70/AG87</f>
        <v>1.5505277020379478</v>
      </c>
      <c r="AH81" s="87">
        <f>AH70/AH87</f>
        <v>6.5886955038650736</v>
      </c>
      <c r="AI81" s="87">
        <f>AI70/AI87</f>
        <v>6.977641351665496</v>
      </c>
      <c r="AJ81" s="87">
        <f>AJ70/AJ87</f>
        <v>7.7877301920881195</v>
      </c>
    </row>
    <row r="82" spans="2:36" s="12" customFormat="1" x14ac:dyDescent="0.25">
      <c r="B82" s="88" t="s">
        <v>53</v>
      </c>
      <c r="C82" s="88"/>
      <c r="D82" s="88"/>
      <c r="E82" s="88"/>
      <c r="F82" s="88"/>
      <c r="G82" s="88"/>
      <c r="H82" s="88"/>
      <c r="I82" s="261">
        <f>'Raw Input'!I56</f>
        <v>5.33</v>
      </c>
      <c r="J82" s="261">
        <f>'Raw Input'!J56</f>
        <v>0</v>
      </c>
      <c r="K82" s="261">
        <f>'Raw Input'!K56</f>
        <v>0</v>
      </c>
      <c r="L82" s="261">
        <f>'Raw Input'!L56</f>
        <v>0</v>
      </c>
      <c r="M82" s="261">
        <f>'Raw Input'!M56</f>
        <v>0</v>
      </c>
      <c r="N82" s="261">
        <f>'Raw Input'!N56</f>
        <v>-4.1500000000000004</v>
      </c>
      <c r="O82" s="261">
        <f>'Raw Input'!O56</f>
        <v>0.67</v>
      </c>
      <c r="P82" s="261">
        <f>'Raw Input'!P56</f>
        <v>1.08</v>
      </c>
      <c r="Q82" s="261">
        <f>'Raw Input'!Q56</f>
        <v>1.1200000000000001</v>
      </c>
      <c r="R82" s="261">
        <f>'Raw Input'!R56</f>
        <v>1.04</v>
      </c>
      <c r="S82" s="261">
        <f>'Raw Input'!S56</f>
        <v>3.91</v>
      </c>
      <c r="T82" s="261">
        <f>'Raw Input'!T56</f>
        <v>0.6</v>
      </c>
      <c r="U82" s="261">
        <f>'Raw Input'!U56</f>
        <v>1.08</v>
      </c>
      <c r="V82" s="261">
        <f>'Raw Input'!V56</f>
        <v>1.21</v>
      </c>
      <c r="W82" s="261">
        <f>'Raw Input'!W56</f>
        <v>0.92</v>
      </c>
      <c r="X82" s="261">
        <f>'Raw Input'!X56</f>
        <v>3.81</v>
      </c>
      <c r="Y82" s="261">
        <f>'Raw Input'!Y56</f>
        <v>0.82</v>
      </c>
      <c r="Z82" s="261">
        <f>'Raw Input'!Z56</f>
        <v>1.1499999999999999</v>
      </c>
      <c r="AA82" s="261">
        <f>'Raw Input'!AA56</f>
        <v>1.41</v>
      </c>
      <c r="AB82" s="261">
        <f>'Raw Input'!AB56</f>
        <v>1.4100000000000001</v>
      </c>
      <c r="AC82" s="261">
        <f>'Raw Input'!AC56</f>
        <v>4.79</v>
      </c>
      <c r="AD82" s="261">
        <f>'Raw Input'!AD56</f>
        <v>1.43</v>
      </c>
      <c r="AE82" s="261">
        <f>'Raw Input'!AE56</f>
        <v>1.71</v>
      </c>
      <c r="AF82" s="261">
        <f>AF70/AF88</f>
        <v>1.8496953184668994</v>
      </c>
      <c r="AG82" s="261">
        <f>AG70/AG88</f>
        <v>1.5375616167247386</v>
      </c>
      <c r="AH82" s="261">
        <f>AH70/AH88</f>
        <v>6.533598398606272</v>
      </c>
      <c r="AI82" s="261">
        <f>AI70/AI88</f>
        <v>6.9192917375749134</v>
      </c>
      <c r="AJ82" s="261">
        <f>AJ70/AJ88</f>
        <v>7.7226063159173481</v>
      </c>
    </row>
    <row r="83" spans="2:36" s="268" customFormat="1" x14ac:dyDescent="0.25">
      <c r="I83" s="272"/>
      <c r="N83" s="263">
        <f>N82/I82-1</f>
        <v>-1.7786116322701688</v>
      </c>
      <c r="O83" s="263" t="e">
        <f t="shared" ref="O83" si="289">O82/J82-1</f>
        <v>#DIV/0!</v>
      </c>
      <c r="P83" s="263" t="e">
        <f t="shared" ref="P83" si="290">P82/K82-1</f>
        <v>#DIV/0!</v>
      </c>
      <c r="Q83" s="263" t="e">
        <f t="shared" ref="Q83" si="291">Q82/L82-1</f>
        <v>#DIV/0!</v>
      </c>
      <c r="R83" s="263" t="e">
        <f t="shared" ref="R83" si="292">R82/M82-1</f>
        <v>#DIV/0!</v>
      </c>
      <c r="S83" s="263">
        <f>S82/N82-1</f>
        <v>-1.9421686746987952</v>
      </c>
      <c r="T83" s="263">
        <f t="shared" ref="T83" si="293">T82/O82-1</f>
        <v>-0.10447761194029859</v>
      </c>
      <c r="U83" s="263">
        <f t="shared" ref="U83" si="294">U82/P82-1</f>
        <v>0</v>
      </c>
      <c r="V83" s="263">
        <f t="shared" ref="V83" si="295">V82/Q82-1</f>
        <v>8.0357142857142794E-2</v>
      </c>
      <c r="W83" s="263">
        <f>W82/R82-1</f>
        <v>-0.11538461538461542</v>
      </c>
      <c r="X83" s="263">
        <f>X82/S82-1</f>
        <v>-2.5575447570332477E-2</v>
      </c>
      <c r="Y83" s="263">
        <f t="shared" ref="Y83" si="296">Y82/T82-1</f>
        <v>0.3666666666666667</v>
      </c>
      <c r="Z83" s="263">
        <f t="shared" ref="Z83" si="297">Z82/U82-1</f>
        <v>6.4814814814814659E-2</v>
      </c>
      <c r="AA83" s="263">
        <f t="shared" ref="AA83" si="298">AA82/V82-1</f>
        <v>0.165289256198347</v>
      </c>
      <c r="AB83" s="263">
        <f>AB82/W82-1</f>
        <v>0.53260869565217406</v>
      </c>
      <c r="AC83" s="263">
        <f t="shared" ref="AC83" si="299">AC82/X82-1</f>
        <v>0.25721784776902878</v>
      </c>
      <c r="AD83" s="263">
        <f t="shared" ref="AD83" si="300">AD82/Y82-1</f>
        <v>0.74390243902439024</v>
      </c>
      <c r="AE83" s="263">
        <f t="shared" ref="AE83" si="301">AE82/Z82-1</f>
        <v>0.48695652173913051</v>
      </c>
      <c r="AF83" s="263">
        <f t="shared" ref="AF83" si="302">AF82/AA82-1</f>
        <v>0.31184065139496409</v>
      </c>
      <c r="AG83" s="263">
        <f t="shared" ref="AG83" si="303">AG82/AB82-1</f>
        <v>9.0469231719672694E-2</v>
      </c>
      <c r="AH83" s="263">
        <f>AH82/AC82-1</f>
        <v>0.36400801641049529</v>
      </c>
      <c r="AI83" s="263">
        <f>AI82/AH82-1</f>
        <v>5.9032299727959536E-2</v>
      </c>
      <c r="AJ83" s="263">
        <f>AJ82/AI82-1</f>
        <v>0.11609780434319172</v>
      </c>
    </row>
    <row r="84" spans="2:36" s="268" customFormat="1" x14ac:dyDescent="0.25">
      <c r="B84" s="70" t="s">
        <v>62</v>
      </c>
      <c r="I84" s="272"/>
      <c r="J84" s="272"/>
      <c r="K84" s="272"/>
      <c r="L84" s="272"/>
      <c r="M84" s="272"/>
      <c r="N84" s="272"/>
      <c r="O84" s="272"/>
      <c r="P84" s="272"/>
      <c r="Q84" s="272"/>
      <c r="R84" s="272"/>
      <c r="S84" s="272">
        <v>4.7300000000000004</v>
      </c>
      <c r="T84" s="272"/>
      <c r="U84" s="272"/>
      <c r="V84" s="272"/>
      <c r="W84" s="272"/>
      <c r="X84" s="272">
        <v>4.47</v>
      </c>
      <c r="Y84" s="272"/>
      <c r="Z84" s="272"/>
      <c r="AA84" s="272"/>
      <c r="AB84" s="272"/>
      <c r="AC84" s="272">
        <v>5.19</v>
      </c>
      <c r="AD84" s="272"/>
      <c r="AE84" s="272"/>
      <c r="AF84" s="272"/>
      <c r="AG84" s="272"/>
      <c r="AH84" s="272">
        <v>6.65</v>
      </c>
      <c r="AI84" s="272">
        <v>7.48</v>
      </c>
      <c r="AJ84" s="272">
        <v>8.4700000000000006</v>
      </c>
    </row>
    <row r="85" spans="2:36" x14ac:dyDescent="0.25"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</row>
    <row r="86" spans="2:36" x14ac:dyDescent="0.25">
      <c r="B86" s="12" t="s">
        <v>54</v>
      </c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</row>
    <row r="87" spans="2:36" x14ac:dyDescent="0.25">
      <c r="B87" s="17" t="s">
        <v>52</v>
      </c>
      <c r="I87" s="63">
        <f>'Raw Input'!I59</f>
        <v>288.10000000000002</v>
      </c>
      <c r="J87" s="63">
        <f>'Raw Input'!J59</f>
        <v>0</v>
      </c>
      <c r="K87" s="63">
        <f>'Raw Input'!K59</f>
        <v>0</v>
      </c>
      <c r="L87" s="63">
        <f>'Raw Input'!L59</f>
        <v>0</v>
      </c>
      <c r="M87" s="63">
        <f>'Raw Input'!M59</f>
        <v>0</v>
      </c>
      <c r="N87" s="63">
        <f>'Raw Input'!N59</f>
        <v>287</v>
      </c>
      <c r="O87" s="63">
        <f>'Raw Input'!O59</f>
        <v>286</v>
      </c>
      <c r="P87" s="63">
        <f>'Raw Input'!P59</f>
        <v>286</v>
      </c>
      <c r="Q87" s="63">
        <f>'Raw Input'!Q59</f>
        <v>286.39999999999998</v>
      </c>
      <c r="R87" s="63">
        <f>'Raw Input'!R59</f>
        <v>286.3</v>
      </c>
      <c r="S87" s="63">
        <f>'Raw Input'!S59</f>
        <v>286.3</v>
      </c>
      <c r="T87" s="63">
        <f>'Raw Input'!T59</f>
        <v>286.2</v>
      </c>
      <c r="U87" s="63">
        <f>'Raw Input'!U59</f>
        <v>285.10000000000002</v>
      </c>
      <c r="V87" s="63">
        <f>'Raw Input'!V59</f>
        <v>284.89999999999998</v>
      </c>
      <c r="W87" s="63">
        <f>'Raw Input'!W59</f>
        <v>285.2</v>
      </c>
      <c r="X87" s="63">
        <f>'Raw Input'!X59</f>
        <v>285.2</v>
      </c>
      <c r="Y87" s="63">
        <f>'Raw Input'!Y59</f>
        <v>284.60000000000002</v>
      </c>
      <c r="Z87" s="63">
        <f>'Raw Input'!Z59</f>
        <v>284.89999999999998</v>
      </c>
      <c r="AA87" s="63">
        <f>'Raw Input'!AA59</f>
        <v>285.10000000000002</v>
      </c>
      <c r="AB87" s="63">
        <f>'Raw Input'!AB59</f>
        <v>285</v>
      </c>
      <c r="AC87" s="63">
        <f>'Raw Input'!AC59</f>
        <v>285</v>
      </c>
      <c r="AD87" s="63">
        <f>'Raw Input'!AD59</f>
        <v>285.7</v>
      </c>
      <c r="AE87" s="63">
        <f>'Raw Input'!AE59</f>
        <v>284.60000000000002</v>
      </c>
      <c r="AF87" s="63">
        <f>AE87</f>
        <v>284.60000000000002</v>
      </c>
      <c r="AG87" s="63">
        <f>AF87</f>
        <v>284.60000000000002</v>
      </c>
      <c r="AH87" s="63">
        <f>AG87</f>
        <v>284.60000000000002</v>
      </c>
      <c r="AI87" s="63">
        <f>AH87</f>
        <v>284.60000000000002</v>
      </c>
      <c r="AJ87" s="63">
        <f t="shared" ref="AJ87:AJ88" si="304">AI87</f>
        <v>284.60000000000002</v>
      </c>
    </row>
    <row r="88" spans="2:36" x14ac:dyDescent="0.25">
      <c r="B88" s="17" t="s">
        <v>53</v>
      </c>
      <c r="I88" s="63">
        <f>'Raw Input'!I60</f>
        <v>292.5</v>
      </c>
      <c r="J88" s="63">
        <f>'Raw Input'!J60</f>
        <v>0</v>
      </c>
      <c r="K88" s="63">
        <f>'Raw Input'!K60</f>
        <v>0</v>
      </c>
      <c r="L88" s="63">
        <f>'Raw Input'!L60</f>
        <v>0</v>
      </c>
      <c r="M88" s="63">
        <f>'Raw Input'!M60</f>
        <v>0</v>
      </c>
      <c r="N88" s="63">
        <f>'Raw Input'!N60</f>
        <v>290.3</v>
      </c>
      <c r="O88" s="63">
        <f>'Raw Input'!O60</f>
        <v>288.8</v>
      </c>
      <c r="P88" s="63">
        <f>'Raw Input'!P60</f>
        <v>288.8</v>
      </c>
      <c r="Q88" s="63">
        <f>'Raw Input'!Q60</f>
        <v>289.2</v>
      </c>
      <c r="R88" s="63">
        <f>'Raw Input'!R60</f>
        <v>289.10000000000002</v>
      </c>
      <c r="S88" s="63">
        <f>'Raw Input'!S60</f>
        <v>289.10000000000002</v>
      </c>
      <c r="T88" s="63">
        <f>'Raw Input'!T60</f>
        <v>288.10000000000002</v>
      </c>
      <c r="U88" s="63">
        <f>'Raw Input'!U60</f>
        <v>286.60000000000002</v>
      </c>
      <c r="V88" s="63">
        <f>'Raw Input'!V60</f>
        <v>286.3</v>
      </c>
      <c r="W88" s="63">
        <f>'Raw Input'!W60</f>
        <v>286.60000000000002</v>
      </c>
      <c r="X88" s="63">
        <f>'Raw Input'!X60</f>
        <v>286.60000000000002</v>
      </c>
      <c r="Y88" s="63">
        <f>'Raw Input'!Y60</f>
        <v>285.89999999999998</v>
      </c>
      <c r="Z88" s="63">
        <f>'Raw Input'!Z60</f>
        <v>286.3</v>
      </c>
      <c r="AA88" s="63">
        <f>'Raw Input'!AA60</f>
        <v>286.89999999999998</v>
      </c>
      <c r="AB88" s="63">
        <f>'Raw Input'!AB60</f>
        <v>286.5</v>
      </c>
      <c r="AC88" s="63">
        <f>'Raw Input'!AC60</f>
        <v>286.5</v>
      </c>
      <c r="AD88" s="63">
        <f>'Raw Input'!AD60</f>
        <v>287.8</v>
      </c>
      <c r="AE88" s="63">
        <f>'Raw Input'!AE60</f>
        <v>287</v>
      </c>
      <c r="AF88" s="63">
        <f>AE88</f>
        <v>287</v>
      </c>
      <c r="AG88" s="63">
        <f>AF88</f>
        <v>287</v>
      </c>
      <c r="AH88" s="63">
        <f>AG88</f>
        <v>287</v>
      </c>
      <c r="AI88" s="63">
        <f t="shared" ref="AI88" si="305">AH88</f>
        <v>287</v>
      </c>
      <c r="AJ88" s="63">
        <f t="shared" si="304"/>
        <v>287</v>
      </c>
    </row>
    <row r="89" spans="2:36" x14ac:dyDescent="0.25"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</row>
    <row r="90" spans="2:36" x14ac:dyDescent="0.25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</row>
    <row r="91" spans="2:36" x14ac:dyDescent="0.25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</row>
    <row r="92" spans="2:36" x14ac:dyDescent="0.25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</row>
    <row r="93" spans="2:36" x14ac:dyDescent="0.25">
      <c r="B93" s="30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</row>
    <row r="94" spans="2:36" x14ac:dyDescent="0.25">
      <c r="B94" s="30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</row>
    <row r="95" spans="2:36" x14ac:dyDescent="0.25">
      <c r="B95" s="30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</row>
    <row r="96" spans="2:36" x14ac:dyDescent="0.25">
      <c r="B96" s="38" t="s">
        <v>55</v>
      </c>
      <c r="C96" s="39"/>
      <c r="D96" s="39"/>
      <c r="E96" s="39"/>
      <c r="F96" s="39"/>
      <c r="G96" s="39"/>
      <c r="H96" s="3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</row>
    <row r="97" spans="2:36" x14ac:dyDescent="0.25">
      <c r="B97" s="51" t="s">
        <v>56</v>
      </c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</row>
    <row r="98" spans="2:36" x14ac:dyDescent="0.25">
      <c r="B98" s="2" t="s">
        <v>192</v>
      </c>
      <c r="I98" s="63">
        <f>'Raw Input'!I65</f>
        <v>1576.2</v>
      </c>
      <c r="J98" s="63">
        <f>'Raw Input'!J65</f>
        <v>0</v>
      </c>
      <c r="K98" s="63">
        <f>'Raw Input'!K65</f>
        <v>0</v>
      </c>
      <c r="L98" s="63">
        <f>'Raw Input'!L65</f>
        <v>0</v>
      </c>
      <c r="M98" s="63">
        <f>'Raw Input'!M65</f>
        <v>0</v>
      </c>
      <c r="N98" s="63">
        <f>'Raw Input'!N65</f>
        <v>-1185.5</v>
      </c>
      <c r="O98" s="63">
        <f>'Raw Input'!O65</f>
        <v>0</v>
      </c>
      <c r="P98" s="63">
        <f>'Raw Input'!P65</f>
        <v>0</v>
      </c>
      <c r="Q98" s="63">
        <f>'Raw Input'!Q65</f>
        <v>0</v>
      </c>
      <c r="R98" s="63">
        <f>'Raw Input'!R65</f>
        <v>0</v>
      </c>
      <c r="S98" s="63">
        <f>'Raw Input'!S65</f>
        <v>1144</v>
      </c>
      <c r="T98" s="63">
        <f>'Raw Input'!T65</f>
        <v>0</v>
      </c>
      <c r="U98" s="63">
        <f>'Raw Input'!U65</f>
        <v>0</v>
      </c>
      <c r="V98" s="63">
        <f>'Raw Input'!V65</f>
        <v>0</v>
      </c>
      <c r="W98" s="63">
        <f>'Raw Input'!W65</f>
        <v>0</v>
      </c>
      <c r="X98" s="63">
        <f>'Raw Input'!X65</f>
        <v>1108.9000000000001</v>
      </c>
      <c r="Y98" s="63">
        <f>'Raw Input'!Y65</f>
        <v>0</v>
      </c>
      <c r="Z98" s="63">
        <f>'Raw Input'!Z65</f>
        <v>0</v>
      </c>
      <c r="AA98" s="63">
        <f>'Raw Input'!AA65</f>
        <v>0</v>
      </c>
      <c r="AB98" s="63">
        <f>'Raw Input'!AB65</f>
        <v>0</v>
      </c>
      <c r="AC98" s="63">
        <f>'Raw Input'!AC65</f>
        <v>1393</v>
      </c>
      <c r="AD98" s="63"/>
      <c r="AE98" s="63"/>
      <c r="AF98" s="63"/>
      <c r="AG98" s="63"/>
      <c r="AH98" s="63"/>
      <c r="AI98" s="63"/>
      <c r="AJ98" s="63"/>
    </row>
    <row r="99" spans="2:36" x14ac:dyDescent="0.25">
      <c r="B99" s="2" t="s">
        <v>193</v>
      </c>
      <c r="I99" s="63">
        <f>'Raw Input'!I66</f>
        <v>133.30000000000001</v>
      </c>
      <c r="J99" s="63">
        <f>'Raw Input'!J66</f>
        <v>0</v>
      </c>
      <c r="K99" s="63">
        <f>'Raw Input'!K66</f>
        <v>0</v>
      </c>
      <c r="L99" s="63">
        <f>'Raw Input'!L66</f>
        <v>0</v>
      </c>
      <c r="M99" s="63">
        <f>'Raw Input'!M66</f>
        <v>0</v>
      </c>
      <c r="N99" s="63">
        <f>'Raw Input'!N66</f>
        <v>-2170.3000000000002</v>
      </c>
      <c r="O99" s="63">
        <f>'Raw Input'!O66</f>
        <v>0</v>
      </c>
      <c r="P99" s="63">
        <f>'Raw Input'!P66</f>
        <v>0</v>
      </c>
      <c r="Q99" s="63">
        <f>'Raw Input'!Q66</f>
        <v>0</v>
      </c>
      <c r="R99" s="63">
        <f>'Raw Input'!R66</f>
        <v>0</v>
      </c>
      <c r="S99" s="63">
        <f>'Raw Input'!S66</f>
        <v>0</v>
      </c>
      <c r="T99" s="63">
        <f>'Raw Input'!T66</f>
        <v>0</v>
      </c>
      <c r="U99" s="63">
        <f>'Raw Input'!U66</f>
        <v>0</v>
      </c>
      <c r="V99" s="63">
        <f>'Raw Input'!V66</f>
        <v>0</v>
      </c>
      <c r="W99" s="63">
        <f>'Raw Input'!W66</f>
        <v>0</v>
      </c>
      <c r="X99" s="63">
        <f>'Raw Input'!X66</f>
        <v>0</v>
      </c>
      <c r="Y99" s="63">
        <f>'Raw Input'!Y66</f>
        <v>0</v>
      </c>
      <c r="Z99" s="63">
        <f>'Raw Input'!Z66</f>
        <v>0</v>
      </c>
      <c r="AA99" s="63">
        <f>'Raw Input'!AA66</f>
        <v>0</v>
      </c>
      <c r="AB99" s="63">
        <f>'Raw Input'!AB66</f>
        <v>0</v>
      </c>
      <c r="AC99" s="63">
        <f>'Raw Input'!AC66</f>
        <v>0</v>
      </c>
      <c r="AD99" s="63"/>
      <c r="AE99" s="63"/>
      <c r="AF99" s="63"/>
      <c r="AG99" s="63"/>
      <c r="AH99" s="63"/>
      <c r="AI99" s="63"/>
      <c r="AJ99" s="63"/>
    </row>
    <row r="100" spans="2:36" x14ac:dyDescent="0.25">
      <c r="B100" s="2" t="s">
        <v>194</v>
      </c>
      <c r="I100" s="63">
        <f>'Raw Input'!I67</f>
        <v>1442.9</v>
      </c>
      <c r="J100" s="63">
        <f>'Raw Input'!J67</f>
        <v>0</v>
      </c>
      <c r="K100" s="63">
        <f>'Raw Input'!K67</f>
        <v>0</v>
      </c>
      <c r="L100" s="63">
        <f>'Raw Input'!L67</f>
        <v>0</v>
      </c>
      <c r="M100" s="63">
        <f>'Raw Input'!M67</f>
        <v>0</v>
      </c>
      <c r="N100" s="63">
        <f>'Raw Input'!N67</f>
        <v>984.8</v>
      </c>
      <c r="O100" s="63">
        <f>'Raw Input'!O67</f>
        <v>0</v>
      </c>
      <c r="P100" s="63">
        <f>'Raw Input'!P67</f>
        <v>0</v>
      </c>
      <c r="Q100" s="63">
        <f>'Raw Input'!Q67</f>
        <v>0</v>
      </c>
      <c r="R100" s="63">
        <f>'Raw Input'!R67</f>
        <v>0</v>
      </c>
      <c r="S100" s="63">
        <f>'Raw Input'!S67</f>
        <v>1144</v>
      </c>
      <c r="T100" s="63">
        <f>'Raw Input'!T67</f>
        <v>0</v>
      </c>
      <c r="U100" s="63">
        <f>'Raw Input'!U67</f>
        <v>0</v>
      </c>
      <c r="V100" s="63">
        <f>'Raw Input'!V67</f>
        <v>0</v>
      </c>
      <c r="W100" s="63">
        <f>'Raw Input'!W67</f>
        <v>0</v>
      </c>
      <c r="X100" s="63">
        <f>'Raw Input'!X67</f>
        <v>1108.9000000000001</v>
      </c>
      <c r="Y100" s="63">
        <f>'Raw Input'!Y67</f>
        <v>0</v>
      </c>
      <c r="Z100" s="63">
        <f>'Raw Input'!Z67</f>
        <v>0</v>
      </c>
      <c r="AA100" s="63">
        <f>'Raw Input'!AA67</f>
        <v>0</v>
      </c>
      <c r="AB100" s="63">
        <f>'Raw Input'!AB67</f>
        <v>0</v>
      </c>
      <c r="AC100" s="63">
        <f>'Raw Input'!AC67</f>
        <v>1393</v>
      </c>
      <c r="AD100" s="63"/>
      <c r="AE100" s="63"/>
      <c r="AF100" s="63"/>
      <c r="AG100" s="63"/>
      <c r="AH100" s="63"/>
      <c r="AI100" s="63"/>
      <c r="AJ100" s="63"/>
    </row>
    <row r="101" spans="2:36" x14ac:dyDescent="0.25">
      <c r="B101" s="4" t="s">
        <v>195</v>
      </c>
      <c r="I101" s="63">
        <f>'Raw Input'!I68</f>
        <v>0</v>
      </c>
      <c r="J101" s="63">
        <f>'Raw Input'!J68</f>
        <v>0</v>
      </c>
      <c r="K101" s="63">
        <f>'Raw Input'!K68</f>
        <v>0</v>
      </c>
      <c r="L101" s="63">
        <f>'Raw Input'!L68</f>
        <v>0</v>
      </c>
      <c r="M101" s="63">
        <f>'Raw Input'!M68</f>
        <v>0</v>
      </c>
      <c r="N101" s="63">
        <f>'Raw Input'!N68</f>
        <v>0</v>
      </c>
      <c r="O101" s="63">
        <f>'Raw Input'!O68</f>
        <v>0</v>
      </c>
      <c r="P101" s="63">
        <f>'Raw Input'!P68</f>
        <v>0</v>
      </c>
      <c r="Q101" s="63">
        <f>'Raw Input'!Q68</f>
        <v>0</v>
      </c>
      <c r="R101" s="63">
        <f>'Raw Input'!R68</f>
        <v>0</v>
      </c>
      <c r="S101" s="63">
        <f>'Raw Input'!S68</f>
        <v>0</v>
      </c>
      <c r="T101" s="63">
        <f>'Raw Input'!T68</f>
        <v>0</v>
      </c>
      <c r="U101" s="63">
        <f>'Raw Input'!U68</f>
        <v>0</v>
      </c>
      <c r="V101" s="63">
        <f>'Raw Input'!V68</f>
        <v>0</v>
      </c>
      <c r="W101" s="63">
        <f>'Raw Input'!W68</f>
        <v>0</v>
      </c>
      <c r="X101" s="63">
        <f>'Raw Input'!X68</f>
        <v>0</v>
      </c>
      <c r="Y101" s="63">
        <f>'Raw Input'!Y68</f>
        <v>0</v>
      </c>
      <c r="Z101" s="63">
        <f>'Raw Input'!Z68</f>
        <v>0</v>
      </c>
      <c r="AA101" s="63">
        <f>'Raw Input'!AA68</f>
        <v>0</v>
      </c>
      <c r="AB101" s="63">
        <f>'Raw Input'!AB68</f>
        <v>0</v>
      </c>
      <c r="AC101" s="63">
        <f>'Raw Input'!AC68</f>
        <v>0</v>
      </c>
      <c r="AD101" s="63"/>
      <c r="AE101" s="63"/>
      <c r="AF101" s="63"/>
      <c r="AG101" s="63"/>
      <c r="AH101" s="63"/>
      <c r="AI101" s="63"/>
      <c r="AJ101" s="63"/>
    </row>
    <row r="102" spans="2:36" x14ac:dyDescent="0.25">
      <c r="B102" s="1" t="s">
        <v>57</v>
      </c>
      <c r="I102" s="63">
        <f>'Raw Input'!I69</f>
        <v>569.1</v>
      </c>
      <c r="J102" s="63">
        <f>'Raw Input'!J69</f>
        <v>0</v>
      </c>
      <c r="K102" s="63">
        <f>'Raw Input'!K69</f>
        <v>0</v>
      </c>
      <c r="L102" s="63">
        <f>'Raw Input'!L69</f>
        <v>0</v>
      </c>
      <c r="M102" s="63">
        <f>'Raw Input'!M69</f>
        <v>0</v>
      </c>
      <c r="N102" s="63">
        <f>'Raw Input'!N69</f>
        <v>594.29999999999995</v>
      </c>
      <c r="O102" s="63">
        <f>'Raw Input'!O69</f>
        <v>0</v>
      </c>
      <c r="P102" s="63">
        <f>'Raw Input'!P69</f>
        <v>0</v>
      </c>
      <c r="Q102" s="63">
        <f>'Raw Input'!Q69</f>
        <v>0</v>
      </c>
      <c r="R102" s="63">
        <f>'Raw Input'!R69</f>
        <v>0</v>
      </c>
      <c r="S102" s="63">
        <f>'Raw Input'!S69</f>
        <v>604.4</v>
      </c>
      <c r="T102" s="63">
        <f>'Raw Input'!T69</f>
        <v>0</v>
      </c>
      <c r="U102" s="63">
        <f>'Raw Input'!U69</f>
        <v>0</v>
      </c>
      <c r="V102" s="63">
        <f>'Raw Input'!V69</f>
        <v>0</v>
      </c>
      <c r="W102" s="63">
        <f>'Raw Input'!W69</f>
        <v>0</v>
      </c>
      <c r="X102" s="63">
        <f>'Raw Input'!X69</f>
        <v>618.5</v>
      </c>
      <c r="Y102" s="63">
        <f>'Raw Input'!Y69</f>
        <v>0</v>
      </c>
      <c r="Z102" s="63">
        <f>'Raw Input'!Z69</f>
        <v>0</v>
      </c>
      <c r="AA102" s="63">
        <f>'Raw Input'!AA69</f>
        <v>0</v>
      </c>
      <c r="AB102" s="63">
        <f>'Raw Input'!AB69</f>
        <v>0</v>
      </c>
      <c r="AC102" s="63">
        <f>'Raw Input'!AC69</f>
        <v>616.70000000000005</v>
      </c>
      <c r="AD102" s="63"/>
      <c r="AE102" s="63"/>
      <c r="AF102" s="63"/>
      <c r="AG102" s="63"/>
      <c r="AH102" s="63"/>
      <c r="AI102" s="63"/>
      <c r="AJ102" s="63"/>
    </row>
    <row r="103" spans="2:36" x14ac:dyDescent="0.25">
      <c r="B103" s="1" t="s">
        <v>196</v>
      </c>
      <c r="I103" s="63">
        <f>'Raw Input'!I70</f>
        <v>206.2</v>
      </c>
      <c r="J103" s="63">
        <f>'Raw Input'!J70</f>
        <v>0</v>
      </c>
      <c r="K103" s="63">
        <f>'Raw Input'!K70</f>
        <v>0</v>
      </c>
      <c r="L103" s="63">
        <f>'Raw Input'!L70</f>
        <v>0</v>
      </c>
      <c r="M103" s="63">
        <f>'Raw Input'!M70</f>
        <v>0</v>
      </c>
      <c r="N103" s="63">
        <f>'Raw Input'!N70</f>
        <v>218.4</v>
      </c>
      <c r="O103" s="63">
        <f>'Raw Input'!O70</f>
        <v>0</v>
      </c>
      <c r="P103" s="63">
        <f>'Raw Input'!P70</f>
        <v>0</v>
      </c>
      <c r="Q103" s="63">
        <f>'Raw Input'!Q70</f>
        <v>0</v>
      </c>
      <c r="R103" s="63">
        <f>'Raw Input'!R70</f>
        <v>0</v>
      </c>
      <c r="S103" s="63">
        <f>'Raw Input'!S70</f>
        <v>238.7</v>
      </c>
      <c r="T103" s="63">
        <f>'Raw Input'!T70</f>
        <v>0</v>
      </c>
      <c r="U103" s="63">
        <f>'Raw Input'!U70</f>
        <v>0</v>
      </c>
      <c r="V103" s="63">
        <f>'Raw Input'!V70</f>
        <v>0</v>
      </c>
      <c r="W103" s="63">
        <f>'Raw Input'!W70</f>
        <v>0</v>
      </c>
      <c r="X103" s="63">
        <f>'Raw Input'!X70</f>
        <v>320.2</v>
      </c>
      <c r="Y103" s="63">
        <f>'Raw Input'!Y70</f>
        <v>0</v>
      </c>
      <c r="Z103" s="63">
        <f>'Raw Input'!Z70</f>
        <v>0</v>
      </c>
      <c r="AA103" s="63">
        <f>'Raw Input'!AA70</f>
        <v>0</v>
      </c>
      <c r="AB103" s="63">
        <f>'Raw Input'!AB70</f>
        <v>0</v>
      </c>
      <c r="AC103" s="63">
        <f>'Raw Input'!AC70</f>
        <v>306.89999999999998</v>
      </c>
      <c r="AD103" s="63"/>
      <c r="AE103" s="63"/>
      <c r="AF103" s="63"/>
      <c r="AG103" s="63"/>
      <c r="AH103" s="63"/>
      <c r="AI103" s="63"/>
      <c r="AJ103" s="63"/>
    </row>
    <row r="104" spans="2:36" x14ac:dyDescent="0.25">
      <c r="B104" s="1" t="s">
        <v>77</v>
      </c>
      <c r="I104" s="63">
        <f>I103+I102</f>
        <v>775.3</v>
      </c>
      <c r="J104" s="63">
        <f t="shared" ref="J104:AG104" si="306">J103+J102</f>
        <v>0</v>
      </c>
      <c r="K104" s="63">
        <f t="shared" si="306"/>
        <v>0</v>
      </c>
      <c r="L104" s="63">
        <f t="shared" si="306"/>
        <v>0</v>
      </c>
      <c r="M104" s="63">
        <f t="shared" si="306"/>
        <v>0</v>
      </c>
      <c r="N104" s="63">
        <f t="shared" si="306"/>
        <v>812.69999999999993</v>
      </c>
      <c r="O104" s="63">
        <f t="shared" si="306"/>
        <v>0</v>
      </c>
      <c r="P104" s="63">
        <f t="shared" si="306"/>
        <v>0</v>
      </c>
      <c r="Q104" s="63">
        <f t="shared" si="306"/>
        <v>0</v>
      </c>
      <c r="R104" s="63">
        <f t="shared" si="306"/>
        <v>0</v>
      </c>
      <c r="S104" s="63">
        <f t="shared" si="306"/>
        <v>843.09999999999991</v>
      </c>
      <c r="T104" s="63">
        <f t="shared" si="306"/>
        <v>0</v>
      </c>
      <c r="U104" s="63">
        <f t="shared" si="306"/>
        <v>0</v>
      </c>
      <c r="V104" s="63">
        <f t="shared" si="306"/>
        <v>0</v>
      </c>
      <c r="W104" s="63">
        <f t="shared" si="306"/>
        <v>0</v>
      </c>
      <c r="X104" s="63">
        <f t="shared" si="306"/>
        <v>938.7</v>
      </c>
      <c r="Y104" s="63">
        <f t="shared" si="306"/>
        <v>0</v>
      </c>
      <c r="Z104" s="63">
        <f t="shared" si="306"/>
        <v>0</v>
      </c>
      <c r="AA104" s="63">
        <f t="shared" si="306"/>
        <v>0</v>
      </c>
      <c r="AB104" s="63">
        <f t="shared" si="306"/>
        <v>0</v>
      </c>
      <c r="AC104" s="63">
        <f t="shared" si="306"/>
        <v>923.6</v>
      </c>
      <c r="AD104" s="63">
        <f t="shared" si="306"/>
        <v>0</v>
      </c>
      <c r="AE104" s="63">
        <f t="shared" si="306"/>
        <v>0</v>
      </c>
      <c r="AF104" s="63">
        <f t="shared" si="306"/>
        <v>0</v>
      </c>
      <c r="AG104" s="63">
        <f t="shared" si="306"/>
        <v>0</v>
      </c>
      <c r="AH104" s="63">
        <v>934.3</v>
      </c>
      <c r="AI104" s="63">
        <v>944.9</v>
      </c>
      <c r="AJ104" s="63">
        <v>911.8</v>
      </c>
    </row>
    <row r="105" spans="2:36" x14ac:dyDescent="0.25">
      <c r="B105" s="1" t="s">
        <v>197</v>
      </c>
      <c r="I105" s="63">
        <f>'Raw Input'!I71</f>
        <v>-22.1</v>
      </c>
      <c r="J105" s="63">
        <f>'Raw Input'!J71</f>
        <v>0</v>
      </c>
      <c r="K105" s="63">
        <f>'Raw Input'!K71</f>
        <v>0</v>
      </c>
      <c r="L105" s="63">
        <f>'Raw Input'!L71</f>
        <v>0</v>
      </c>
      <c r="M105" s="63">
        <f>'Raw Input'!M71</f>
        <v>0</v>
      </c>
      <c r="N105" s="63">
        <f>'Raw Input'!N71</f>
        <v>-45.8</v>
      </c>
      <c r="O105" s="63">
        <f>'Raw Input'!O71</f>
        <v>0</v>
      </c>
      <c r="P105" s="63">
        <f>'Raw Input'!P71</f>
        <v>0</v>
      </c>
      <c r="Q105" s="63">
        <f>'Raw Input'!Q71</f>
        <v>0</v>
      </c>
      <c r="R105" s="63">
        <f>'Raw Input'!R71</f>
        <v>0</v>
      </c>
      <c r="S105" s="63">
        <f>'Raw Input'!S71</f>
        <v>-1.1000000000000001</v>
      </c>
      <c r="T105" s="63">
        <f>'Raw Input'!T71</f>
        <v>0</v>
      </c>
      <c r="U105" s="63">
        <f>'Raw Input'!U71</f>
        <v>0</v>
      </c>
      <c r="V105" s="63">
        <f>'Raw Input'!V71</f>
        <v>0</v>
      </c>
      <c r="W105" s="63">
        <f>'Raw Input'!W71</f>
        <v>0</v>
      </c>
      <c r="X105" s="63">
        <f>'Raw Input'!X71</f>
        <v>-142.6</v>
      </c>
      <c r="Y105" s="63">
        <f>'Raw Input'!Y71</f>
        <v>0</v>
      </c>
      <c r="Z105" s="63">
        <f>'Raw Input'!Z71</f>
        <v>0</v>
      </c>
      <c r="AA105" s="63">
        <f>'Raw Input'!AA71</f>
        <v>0</v>
      </c>
      <c r="AB105" s="63">
        <f>'Raw Input'!AB71</f>
        <v>0</v>
      </c>
      <c r="AC105" s="63">
        <f>'Raw Input'!AC71</f>
        <v>-55.7</v>
      </c>
      <c r="AD105" s="63"/>
      <c r="AE105" s="63"/>
      <c r="AF105" s="63"/>
      <c r="AG105" s="63"/>
      <c r="AH105" s="63"/>
      <c r="AI105" s="63"/>
      <c r="AJ105" s="63"/>
    </row>
    <row r="106" spans="2:36" x14ac:dyDescent="0.25">
      <c r="B106" s="2" t="s">
        <v>198</v>
      </c>
      <c r="I106" s="63">
        <f>'Raw Input'!I72</f>
        <v>84</v>
      </c>
      <c r="J106" s="63">
        <f>'Raw Input'!J72</f>
        <v>0</v>
      </c>
      <c r="K106" s="63">
        <f>'Raw Input'!K72</f>
        <v>0</v>
      </c>
      <c r="L106" s="63">
        <f>'Raw Input'!L72</f>
        <v>0</v>
      </c>
      <c r="M106" s="63">
        <f>'Raw Input'!M72</f>
        <v>0</v>
      </c>
      <c r="N106" s="63">
        <f>'Raw Input'!N72</f>
        <v>82.1</v>
      </c>
      <c r="O106" s="63">
        <f>'Raw Input'!O72</f>
        <v>0</v>
      </c>
      <c r="P106" s="63">
        <f>'Raw Input'!P72</f>
        <v>0</v>
      </c>
      <c r="Q106" s="63">
        <f>'Raw Input'!Q72</f>
        <v>0</v>
      </c>
      <c r="R106" s="63">
        <f>'Raw Input'!R72</f>
        <v>0</v>
      </c>
      <c r="S106" s="63">
        <f>'Raw Input'!S72</f>
        <v>89.5</v>
      </c>
      <c r="T106" s="63">
        <f>'Raw Input'!T72</f>
        <v>0</v>
      </c>
      <c r="U106" s="63">
        <f>'Raw Input'!U72</f>
        <v>0</v>
      </c>
      <c r="V106" s="63">
        <f>'Raw Input'!V72</f>
        <v>0</v>
      </c>
      <c r="W106" s="63">
        <f>'Raw Input'!W72</f>
        <v>0</v>
      </c>
      <c r="X106" s="63">
        <f>'Raw Input'!X72</f>
        <v>87.8</v>
      </c>
      <c r="Y106" s="63">
        <f>'Raw Input'!Y72</f>
        <v>0</v>
      </c>
      <c r="Z106" s="63">
        <f>'Raw Input'!Z72</f>
        <v>0</v>
      </c>
      <c r="AA106" s="63">
        <f>'Raw Input'!AA72</f>
        <v>0</v>
      </c>
      <c r="AB106" s="63">
        <f>'Raw Input'!AB72</f>
        <v>0</v>
      </c>
      <c r="AC106" s="63">
        <f>'Raw Input'!AC72</f>
        <v>95.1</v>
      </c>
      <c r="AD106" s="63"/>
      <c r="AE106" s="63"/>
      <c r="AF106" s="63"/>
      <c r="AG106" s="63"/>
      <c r="AH106" s="63"/>
      <c r="AI106" s="63"/>
      <c r="AJ106" s="63"/>
    </row>
    <row r="107" spans="2:36" x14ac:dyDescent="0.25">
      <c r="B107" s="2" t="s">
        <v>199</v>
      </c>
      <c r="I107" s="63">
        <f>'Raw Input'!I73</f>
        <v>-186</v>
      </c>
      <c r="J107" s="63">
        <f>'Raw Input'!J73</f>
        <v>0</v>
      </c>
      <c r="K107" s="63">
        <f>'Raw Input'!K73</f>
        <v>0</v>
      </c>
      <c r="L107" s="63">
        <f>'Raw Input'!L73</f>
        <v>0</v>
      </c>
      <c r="M107" s="63">
        <f>'Raw Input'!M73</f>
        <v>0</v>
      </c>
      <c r="N107" s="63">
        <f>'Raw Input'!N73</f>
        <v>-70.7</v>
      </c>
      <c r="O107" s="63">
        <f>'Raw Input'!O73</f>
        <v>0</v>
      </c>
      <c r="P107" s="63">
        <f>'Raw Input'!P73</f>
        <v>0</v>
      </c>
      <c r="Q107" s="63">
        <f>'Raw Input'!Q73</f>
        <v>0</v>
      </c>
      <c r="R107" s="63">
        <f>'Raw Input'!R73</f>
        <v>0</v>
      </c>
      <c r="S107" s="63">
        <f>'Raw Input'!S73</f>
        <v>-60.2</v>
      </c>
      <c r="T107" s="63">
        <f>'Raw Input'!T73</f>
        <v>0</v>
      </c>
      <c r="U107" s="63">
        <f>'Raw Input'!U73</f>
        <v>0</v>
      </c>
      <c r="V107" s="63">
        <f>'Raw Input'!V73</f>
        <v>0</v>
      </c>
      <c r="W107" s="63">
        <f>'Raw Input'!W73</f>
        <v>0</v>
      </c>
      <c r="X107" s="63">
        <f>'Raw Input'!X73</f>
        <v>-64.3</v>
      </c>
      <c r="Y107" s="63">
        <f>'Raw Input'!Y73</f>
        <v>0</v>
      </c>
      <c r="Z107" s="63">
        <f>'Raw Input'!Z73</f>
        <v>0</v>
      </c>
      <c r="AA107" s="63">
        <f>'Raw Input'!AA73</f>
        <v>0</v>
      </c>
      <c r="AB107" s="63">
        <f>'Raw Input'!AB73</f>
        <v>0</v>
      </c>
      <c r="AC107" s="63">
        <f>'Raw Input'!AC73</f>
        <v>-109.3</v>
      </c>
      <c r="AD107" s="63"/>
      <c r="AE107" s="63"/>
      <c r="AF107" s="63"/>
      <c r="AG107" s="63"/>
      <c r="AH107" s="63"/>
      <c r="AI107" s="63"/>
      <c r="AJ107" s="63"/>
    </row>
    <row r="108" spans="2:36" x14ac:dyDescent="0.25">
      <c r="B108" s="2" t="s">
        <v>200</v>
      </c>
      <c r="I108" s="63">
        <f>'Raw Input'!I74</f>
        <v>22.6</v>
      </c>
      <c r="J108" s="63">
        <f>'Raw Input'!J74</f>
        <v>0</v>
      </c>
      <c r="K108" s="63">
        <f>'Raw Input'!K74</f>
        <v>0</v>
      </c>
      <c r="L108" s="63">
        <f>'Raw Input'!L74</f>
        <v>0</v>
      </c>
      <c r="M108" s="63">
        <f>'Raw Input'!M74</f>
        <v>0</v>
      </c>
      <c r="N108" s="63">
        <f>'Raw Input'!N74</f>
        <v>42</v>
      </c>
      <c r="O108" s="63">
        <f>'Raw Input'!O74</f>
        <v>0</v>
      </c>
      <c r="P108" s="63">
        <f>'Raw Input'!P74</f>
        <v>0</v>
      </c>
      <c r="Q108" s="63">
        <f>'Raw Input'!Q74</f>
        <v>0</v>
      </c>
      <c r="R108" s="63">
        <f>'Raw Input'!R74</f>
        <v>0</v>
      </c>
      <c r="S108" s="63">
        <f>'Raw Input'!S74</f>
        <v>42.4</v>
      </c>
      <c r="T108" s="63">
        <f>'Raw Input'!T74</f>
        <v>0</v>
      </c>
      <c r="U108" s="63">
        <f>'Raw Input'!U74</f>
        <v>0</v>
      </c>
      <c r="V108" s="63">
        <f>'Raw Input'!V74</f>
        <v>0</v>
      </c>
      <c r="W108" s="63">
        <f>'Raw Input'!W74</f>
        <v>0</v>
      </c>
      <c r="X108" s="63">
        <f>'Raw Input'!X74</f>
        <v>45.5</v>
      </c>
      <c r="Y108" s="63">
        <f>'Raw Input'!Y74</f>
        <v>0</v>
      </c>
      <c r="Z108" s="63">
        <f>'Raw Input'!Z74</f>
        <v>0</v>
      </c>
      <c r="AA108" s="63">
        <f>'Raw Input'!AA74</f>
        <v>0</v>
      </c>
      <c r="AB108" s="63">
        <f>'Raw Input'!AB74</f>
        <v>0</v>
      </c>
      <c r="AC108" s="63">
        <f>'Raw Input'!AC74</f>
        <v>3.1</v>
      </c>
      <c r="AD108" s="63"/>
      <c r="AE108" s="63"/>
      <c r="AF108" s="63"/>
      <c r="AG108" s="63"/>
      <c r="AH108" s="63"/>
      <c r="AI108" s="63"/>
      <c r="AJ108" s="63"/>
    </row>
    <row r="109" spans="2:36" x14ac:dyDescent="0.25">
      <c r="B109" s="2" t="s">
        <v>201</v>
      </c>
      <c r="I109" s="63">
        <f>'Raw Input'!I75</f>
        <v>29.9</v>
      </c>
      <c r="J109" s="63">
        <f>'Raw Input'!J75</f>
        <v>0</v>
      </c>
      <c r="K109" s="63">
        <f>'Raw Input'!K75</f>
        <v>0</v>
      </c>
      <c r="L109" s="63">
        <f>'Raw Input'!L75</f>
        <v>0</v>
      </c>
      <c r="M109" s="63">
        <f>'Raw Input'!M75</f>
        <v>0</v>
      </c>
      <c r="N109" s="63">
        <f>'Raw Input'!N75</f>
        <v>7.8</v>
      </c>
      <c r="O109" s="63">
        <f>'Raw Input'!O75</f>
        <v>0</v>
      </c>
      <c r="P109" s="63">
        <f>'Raw Input'!P75</f>
        <v>0</v>
      </c>
      <c r="Q109" s="63">
        <f>'Raw Input'!Q75</f>
        <v>0</v>
      </c>
      <c r="R109" s="63">
        <f>'Raw Input'!R75</f>
        <v>0</v>
      </c>
      <c r="S109" s="63">
        <f>'Raw Input'!S75</f>
        <v>-41.7</v>
      </c>
      <c r="T109" s="63">
        <f>'Raw Input'!T75</f>
        <v>0</v>
      </c>
      <c r="U109" s="63">
        <f>'Raw Input'!U75</f>
        <v>0</v>
      </c>
      <c r="V109" s="63">
        <f>'Raw Input'!V75</f>
        <v>0</v>
      </c>
      <c r="W109" s="63">
        <f>'Raw Input'!W75</f>
        <v>0</v>
      </c>
      <c r="X109" s="63">
        <f>'Raw Input'!X75</f>
        <v>66.2</v>
      </c>
      <c r="Y109" s="63">
        <f>'Raw Input'!Y75</f>
        <v>0</v>
      </c>
      <c r="Z109" s="63">
        <f>'Raw Input'!Z75</f>
        <v>0</v>
      </c>
      <c r="AA109" s="63">
        <f>'Raw Input'!AA75</f>
        <v>0</v>
      </c>
      <c r="AB109" s="63">
        <f>'Raw Input'!AB75</f>
        <v>0</v>
      </c>
      <c r="AC109" s="63">
        <f>'Raw Input'!AC75</f>
        <v>-32.6</v>
      </c>
      <c r="AD109" s="63"/>
      <c r="AE109" s="63"/>
      <c r="AF109" s="63"/>
      <c r="AG109" s="63"/>
      <c r="AH109" s="63"/>
      <c r="AI109" s="63"/>
      <c r="AJ109" s="63"/>
    </row>
    <row r="110" spans="2:36" x14ac:dyDescent="0.25">
      <c r="B110" s="1" t="s">
        <v>202</v>
      </c>
      <c r="I110" s="63">
        <f>'Raw Input'!I76</f>
        <v>0</v>
      </c>
      <c r="J110" s="63">
        <f>'Raw Input'!J76</f>
        <v>0</v>
      </c>
      <c r="K110" s="63">
        <f>'Raw Input'!K76</f>
        <v>0</v>
      </c>
      <c r="L110" s="63">
        <f>'Raw Input'!L76</f>
        <v>0</v>
      </c>
      <c r="M110" s="63">
        <f>'Raw Input'!M76</f>
        <v>0</v>
      </c>
      <c r="N110" s="63">
        <f>'Raw Input'!N76</f>
        <v>77.099999999999994</v>
      </c>
      <c r="O110" s="63">
        <f>'Raw Input'!O76</f>
        <v>0</v>
      </c>
      <c r="P110" s="63">
        <f>'Raw Input'!P76</f>
        <v>0</v>
      </c>
      <c r="Q110" s="63">
        <f>'Raw Input'!Q76</f>
        <v>0</v>
      </c>
      <c r="R110" s="63">
        <f>'Raw Input'!R76</f>
        <v>0</v>
      </c>
      <c r="S110" s="63">
        <f>'Raw Input'!S76</f>
        <v>29.4</v>
      </c>
      <c r="T110" s="63">
        <f>'Raw Input'!T76</f>
        <v>0</v>
      </c>
      <c r="U110" s="63">
        <f>'Raw Input'!U76</f>
        <v>0</v>
      </c>
      <c r="V110" s="63">
        <f>'Raw Input'!V76</f>
        <v>0</v>
      </c>
      <c r="W110" s="63">
        <f>'Raw Input'!W76</f>
        <v>0</v>
      </c>
      <c r="X110" s="63">
        <f>'Raw Input'!X76</f>
        <v>0</v>
      </c>
      <c r="Y110" s="63">
        <f>'Raw Input'!Y76</f>
        <v>0</v>
      </c>
      <c r="Z110" s="63">
        <f>'Raw Input'!Z76</f>
        <v>0</v>
      </c>
      <c r="AA110" s="63">
        <f>'Raw Input'!AA76</f>
        <v>0</v>
      </c>
      <c r="AB110" s="63">
        <f>'Raw Input'!AB76</f>
        <v>0</v>
      </c>
      <c r="AC110" s="63">
        <f>'Raw Input'!AC76</f>
        <v>0</v>
      </c>
      <c r="AD110" s="63"/>
      <c r="AE110" s="63"/>
      <c r="AF110" s="63"/>
      <c r="AG110" s="63"/>
      <c r="AH110" s="63"/>
      <c r="AI110" s="63"/>
      <c r="AJ110" s="63"/>
    </row>
    <row r="111" spans="2:36" x14ac:dyDescent="0.25">
      <c r="B111" s="1" t="s">
        <v>203</v>
      </c>
      <c r="I111" s="63">
        <f>'Raw Input'!I77</f>
        <v>17.600000000000001</v>
      </c>
      <c r="J111" s="63">
        <f>'Raw Input'!J77</f>
        <v>0</v>
      </c>
      <c r="K111" s="63">
        <f>'Raw Input'!K77</f>
        <v>0</v>
      </c>
      <c r="L111" s="63">
        <f>'Raw Input'!L77</f>
        <v>0</v>
      </c>
      <c r="M111" s="63">
        <f>'Raw Input'!M77</f>
        <v>0</v>
      </c>
      <c r="N111" s="63">
        <f>'Raw Input'!N77</f>
        <v>61</v>
      </c>
      <c r="O111" s="63">
        <f>'Raw Input'!O77</f>
        <v>0</v>
      </c>
      <c r="P111" s="63">
        <f>'Raw Input'!P77</f>
        <v>0</v>
      </c>
      <c r="Q111" s="63">
        <f>'Raw Input'!Q77</f>
        <v>0</v>
      </c>
      <c r="R111" s="63">
        <f>'Raw Input'!R77</f>
        <v>0</v>
      </c>
      <c r="S111" s="63">
        <f>'Raw Input'!S77</f>
        <v>15.9</v>
      </c>
      <c r="T111" s="63">
        <f>'Raw Input'!T77</f>
        <v>0</v>
      </c>
      <c r="U111" s="63">
        <f>'Raw Input'!U77</f>
        <v>0</v>
      </c>
      <c r="V111" s="63">
        <f>'Raw Input'!V77</f>
        <v>0</v>
      </c>
      <c r="W111" s="63">
        <f>'Raw Input'!W77</f>
        <v>0</v>
      </c>
      <c r="X111" s="63">
        <f>'Raw Input'!X77</f>
        <v>24.9</v>
      </c>
      <c r="Y111" s="63">
        <f>'Raw Input'!Y77</f>
        <v>0</v>
      </c>
      <c r="Z111" s="63">
        <f>'Raw Input'!Z77</f>
        <v>0</v>
      </c>
      <c r="AA111" s="63">
        <f>'Raw Input'!AA77</f>
        <v>0</v>
      </c>
      <c r="AB111" s="63">
        <f>'Raw Input'!AB77</f>
        <v>0</v>
      </c>
      <c r="AC111" s="63">
        <f>'Raw Input'!AC77</f>
        <v>31.9</v>
      </c>
      <c r="AD111" s="63"/>
      <c r="AE111" s="63"/>
      <c r="AF111" s="63"/>
      <c r="AG111" s="63"/>
      <c r="AH111" s="63"/>
      <c r="AI111" s="63"/>
      <c r="AJ111" s="63"/>
    </row>
    <row r="112" spans="2:36" x14ac:dyDescent="0.25">
      <c r="B112" s="4" t="s">
        <v>204</v>
      </c>
      <c r="I112" s="63">
        <f>'Raw Input'!I78</f>
        <v>0</v>
      </c>
      <c r="J112" s="63">
        <f>'Raw Input'!J78</f>
        <v>0</v>
      </c>
      <c r="K112" s="63">
        <f>'Raw Input'!K78</f>
        <v>0</v>
      </c>
      <c r="L112" s="63">
        <f>'Raw Input'!L78</f>
        <v>0</v>
      </c>
      <c r="M112" s="63">
        <f>'Raw Input'!M78</f>
        <v>0</v>
      </c>
      <c r="N112" s="63">
        <f>'Raw Input'!N78</f>
        <v>0</v>
      </c>
      <c r="O112" s="63">
        <f>'Raw Input'!O78</f>
        <v>0</v>
      </c>
      <c r="P112" s="63">
        <f>'Raw Input'!P78</f>
        <v>0</v>
      </c>
      <c r="Q112" s="63">
        <f>'Raw Input'!Q78</f>
        <v>0</v>
      </c>
      <c r="R112" s="63">
        <f>'Raw Input'!R78</f>
        <v>0</v>
      </c>
      <c r="S112" s="63">
        <f>'Raw Input'!S78</f>
        <v>0</v>
      </c>
      <c r="T112" s="63">
        <f>'Raw Input'!T78</f>
        <v>0</v>
      </c>
      <c r="U112" s="63">
        <f>'Raw Input'!U78</f>
        <v>0</v>
      </c>
      <c r="V112" s="63">
        <f>'Raw Input'!V78</f>
        <v>0</v>
      </c>
      <c r="W112" s="63">
        <f>'Raw Input'!W78</f>
        <v>0</v>
      </c>
      <c r="X112" s="63">
        <f>'Raw Input'!X78</f>
        <v>0</v>
      </c>
      <c r="Y112" s="63">
        <f>'Raw Input'!Y78</f>
        <v>0</v>
      </c>
      <c r="Z112" s="63">
        <f>'Raw Input'!Z78</f>
        <v>0</v>
      </c>
      <c r="AA112" s="63">
        <f>'Raw Input'!AA78</f>
        <v>0</v>
      </c>
      <c r="AB112" s="63">
        <f>'Raw Input'!AB78</f>
        <v>0</v>
      </c>
      <c r="AC112" s="63">
        <f>'Raw Input'!AC78</f>
        <v>0</v>
      </c>
      <c r="AD112" s="63"/>
      <c r="AE112" s="63"/>
      <c r="AF112" s="63"/>
      <c r="AG112" s="63"/>
      <c r="AH112" s="63"/>
      <c r="AI112" s="63"/>
      <c r="AJ112" s="63"/>
    </row>
    <row r="113" spans="2:36" x14ac:dyDescent="0.25">
      <c r="B113" s="1" t="s">
        <v>205</v>
      </c>
      <c r="I113" s="63">
        <f>'Raw Input'!I79</f>
        <v>-173.1</v>
      </c>
      <c r="J113" s="63">
        <f>'Raw Input'!J79</f>
        <v>0</v>
      </c>
      <c r="K113" s="63">
        <f>'Raw Input'!K79</f>
        <v>0</v>
      </c>
      <c r="L113" s="63">
        <f>'Raw Input'!L79</f>
        <v>0</v>
      </c>
      <c r="M113" s="63">
        <f>'Raw Input'!M79</f>
        <v>0</v>
      </c>
      <c r="N113" s="63">
        <f>'Raw Input'!N79</f>
        <v>155.6</v>
      </c>
      <c r="O113" s="63">
        <f>'Raw Input'!O79</f>
        <v>0</v>
      </c>
      <c r="P113" s="63">
        <f>'Raw Input'!P79</f>
        <v>0</v>
      </c>
      <c r="Q113" s="63">
        <f>'Raw Input'!Q79</f>
        <v>0</v>
      </c>
      <c r="R113" s="63">
        <f>'Raw Input'!R79</f>
        <v>0</v>
      </c>
      <c r="S113" s="63">
        <f>'Raw Input'!S79</f>
        <v>-178.2</v>
      </c>
      <c r="T113" s="63">
        <f>'Raw Input'!T79</f>
        <v>0</v>
      </c>
      <c r="U113" s="63">
        <f>'Raw Input'!U79</f>
        <v>0</v>
      </c>
      <c r="V113" s="63">
        <f>'Raw Input'!V79</f>
        <v>0</v>
      </c>
      <c r="W113" s="63">
        <f>'Raw Input'!W79</f>
        <v>0</v>
      </c>
      <c r="X113" s="63">
        <f>'Raw Input'!X79</f>
        <v>-319.60000000000002</v>
      </c>
      <c r="Y113" s="63">
        <f>'Raw Input'!Y79</f>
        <v>0</v>
      </c>
      <c r="Z113" s="63">
        <f>'Raw Input'!Z79</f>
        <v>0</v>
      </c>
      <c r="AA113" s="63">
        <f>'Raw Input'!AA79</f>
        <v>0</v>
      </c>
      <c r="AB113" s="63">
        <f>'Raw Input'!AB79</f>
        <v>0</v>
      </c>
      <c r="AC113" s="63">
        <f>'Raw Input'!AC79</f>
        <v>-84.3</v>
      </c>
      <c r="AD113" s="63"/>
      <c r="AE113" s="63"/>
      <c r="AF113" s="63"/>
      <c r="AG113" s="63"/>
      <c r="AH113" s="63"/>
      <c r="AI113" s="63"/>
      <c r="AJ113" s="63"/>
    </row>
    <row r="114" spans="2:36" x14ac:dyDescent="0.25">
      <c r="B114" s="1" t="s">
        <v>206</v>
      </c>
      <c r="I114" s="63">
        <f>'Raw Input'!I80</f>
        <v>22.3</v>
      </c>
      <c r="J114" s="63">
        <f>'Raw Input'!J80</f>
        <v>0</v>
      </c>
      <c r="K114" s="63">
        <f>'Raw Input'!K80</f>
        <v>0</v>
      </c>
      <c r="L114" s="63">
        <f>'Raw Input'!L80</f>
        <v>0</v>
      </c>
      <c r="M114" s="63">
        <f>'Raw Input'!M80</f>
        <v>0</v>
      </c>
      <c r="N114" s="63">
        <f>'Raw Input'!N80</f>
        <v>-179.5</v>
      </c>
      <c r="O114" s="63">
        <f>'Raw Input'!O80</f>
        <v>0</v>
      </c>
      <c r="P114" s="63">
        <f>'Raw Input'!P80</f>
        <v>0</v>
      </c>
      <c r="Q114" s="63">
        <f>'Raw Input'!Q80</f>
        <v>0</v>
      </c>
      <c r="R114" s="63">
        <f>'Raw Input'!R80</f>
        <v>0</v>
      </c>
      <c r="S114" s="63">
        <f>'Raw Input'!S80</f>
        <v>-73</v>
      </c>
      <c r="T114" s="63">
        <f>'Raw Input'!T80</f>
        <v>0</v>
      </c>
      <c r="U114" s="63">
        <f>'Raw Input'!U80</f>
        <v>0</v>
      </c>
      <c r="V114" s="63">
        <f>'Raw Input'!V80</f>
        <v>0</v>
      </c>
      <c r="W114" s="63">
        <f>'Raw Input'!W80</f>
        <v>0</v>
      </c>
      <c r="X114" s="63">
        <f>'Raw Input'!X80</f>
        <v>-402.9</v>
      </c>
      <c r="Y114" s="63">
        <f>'Raw Input'!Y80</f>
        <v>0</v>
      </c>
      <c r="Z114" s="63">
        <f>'Raw Input'!Z80</f>
        <v>0</v>
      </c>
      <c r="AA114" s="63">
        <f>'Raw Input'!AA80</f>
        <v>0</v>
      </c>
      <c r="AB114" s="63">
        <f>'Raw Input'!AB80</f>
        <v>0</v>
      </c>
      <c r="AC114" s="63">
        <f>'Raw Input'!AC80</f>
        <v>320.3</v>
      </c>
      <c r="AD114" s="63"/>
      <c r="AE114" s="63"/>
      <c r="AF114" s="63"/>
      <c r="AG114" s="63"/>
      <c r="AH114" s="63"/>
      <c r="AI114" s="63"/>
      <c r="AJ114" s="63"/>
    </row>
    <row r="115" spans="2:36" x14ac:dyDescent="0.25">
      <c r="B115" s="1" t="s">
        <v>207</v>
      </c>
      <c r="I115" s="63">
        <f>'Raw Input'!I81</f>
        <v>-70.400000000000006</v>
      </c>
      <c r="J115" s="63">
        <f>'Raw Input'!J81</f>
        <v>0</v>
      </c>
      <c r="K115" s="63">
        <f>'Raw Input'!K81</f>
        <v>0</v>
      </c>
      <c r="L115" s="63">
        <f>'Raw Input'!L81</f>
        <v>0</v>
      </c>
      <c r="M115" s="63">
        <f>'Raw Input'!M81</f>
        <v>0</v>
      </c>
      <c r="N115" s="63">
        <f>'Raw Input'!N81</f>
        <v>42.3</v>
      </c>
      <c r="O115" s="63">
        <f>'Raw Input'!O81</f>
        <v>0</v>
      </c>
      <c r="P115" s="63">
        <f>'Raw Input'!P81</f>
        <v>0</v>
      </c>
      <c r="Q115" s="63">
        <f>'Raw Input'!Q81</f>
        <v>0</v>
      </c>
      <c r="R115" s="63">
        <f>'Raw Input'!R81</f>
        <v>0</v>
      </c>
      <c r="S115" s="63">
        <f>'Raw Input'!S81</f>
        <v>-92.9</v>
      </c>
      <c r="T115" s="63">
        <f>'Raw Input'!T81</f>
        <v>0</v>
      </c>
      <c r="U115" s="63">
        <f>'Raw Input'!U81</f>
        <v>0</v>
      </c>
      <c r="V115" s="63">
        <f>'Raw Input'!V81</f>
        <v>0</v>
      </c>
      <c r="W115" s="63">
        <f>'Raw Input'!W81</f>
        <v>0</v>
      </c>
      <c r="X115" s="63">
        <f>'Raw Input'!X81</f>
        <v>-278.2</v>
      </c>
      <c r="Y115" s="63">
        <f>'Raw Input'!Y81</f>
        <v>0</v>
      </c>
      <c r="Z115" s="63">
        <f>'Raw Input'!Z81</f>
        <v>0</v>
      </c>
      <c r="AA115" s="63">
        <f>'Raw Input'!AA81</f>
        <v>0</v>
      </c>
      <c r="AB115" s="63">
        <f>'Raw Input'!AB81</f>
        <v>0</v>
      </c>
      <c r="AC115" s="63">
        <f>'Raw Input'!AC81</f>
        <v>72.2</v>
      </c>
      <c r="AD115" s="63"/>
      <c r="AE115" s="63"/>
      <c r="AF115" s="63"/>
      <c r="AG115" s="63"/>
      <c r="AH115" s="63"/>
      <c r="AI115" s="63"/>
      <c r="AJ115" s="63"/>
    </row>
    <row r="116" spans="2:36" x14ac:dyDescent="0.25">
      <c r="B116" s="1" t="s">
        <v>58</v>
      </c>
      <c r="I116" s="63">
        <f>'Raw Input'!I82</f>
        <v>22.9</v>
      </c>
      <c r="J116" s="63">
        <f>'Raw Input'!J82</f>
        <v>0</v>
      </c>
      <c r="K116" s="63">
        <f>'Raw Input'!K82</f>
        <v>0</v>
      </c>
      <c r="L116" s="63">
        <f>'Raw Input'!L82</f>
        <v>0</v>
      </c>
      <c r="M116" s="63">
        <f>'Raw Input'!M82</f>
        <v>0</v>
      </c>
      <c r="N116" s="63">
        <f>'Raw Input'!N82</f>
        <v>55.9</v>
      </c>
      <c r="O116" s="63">
        <f>'Raw Input'!O82</f>
        <v>0</v>
      </c>
      <c r="P116" s="63">
        <f>'Raw Input'!P82</f>
        <v>0</v>
      </c>
      <c r="Q116" s="63">
        <f>'Raw Input'!Q82</f>
        <v>0</v>
      </c>
      <c r="R116" s="63">
        <f>'Raw Input'!R82</f>
        <v>0</v>
      </c>
      <c r="S116" s="63">
        <f>'Raw Input'!S82</f>
        <v>200.4</v>
      </c>
      <c r="T116" s="63">
        <f>'Raw Input'!T82</f>
        <v>0</v>
      </c>
      <c r="U116" s="63">
        <f>'Raw Input'!U82</f>
        <v>0</v>
      </c>
      <c r="V116" s="63">
        <f>'Raw Input'!V82</f>
        <v>0</v>
      </c>
      <c r="W116" s="63">
        <f>'Raw Input'!W82</f>
        <v>0</v>
      </c>
      <c r="X116" s="63">
        <f>'Raw Input'!X82</f>
        <v>394.7</v>
      </c>
      <c r="Y116" s="63">
        <f>'Raw Input'!Y82</f>
        <v>0</v>
      </c>
      <c r="Z116" s="63">
        <f>'Raw Input'!Z82</f>
        <v>0</v>
      </c>
      <c r="AA116" s="63">
        <f>'Raw Input'!AA82</f>
        <v>0</v>
      </c>
      <c r="AB116" s="63">
        <f>'Raw Input'!AB82</f>
        <v>0</v>
      </c>
      <c r="AC116" s="63">
        <f>'Raw Input'!AC82</f>
        <v>-232.3</v>
      </c>
      <c r="AD116" s="63"/>
      <c r="AE116" s="63"/>
      <c r="AF116" s="63"/>
      <c r="AG116" s="63"/>
      <c r="AH116" s="63"/>
      <c r="AI116" s="63"/>
      <c r="AJ116" s="63"/>
    </row>
    <row r="117" spans="2:36" x14ac:dyDescent="0.25">
      <c r="B117" s="1" t="s">
        <v>208</v>
      </c>
      <c r="I117" s="63">
        <f>'Raw Input'!I83</f>
        <v>80.8</v>
      </c>
      <c r="J117" s="63">
        <f>'Raw Input'!J83</f>
        <v>0</v>
      </c>
      <c r="K117" s="63">
        <f>'Raw Input'!K83</f>
        <v>0</v>
      </c>
      <c r="L117" s="63">
        <f>'Raw Input'!L83</f>
        <v>0</v>
      </c>
      <c r="M117" s="63">
        <f>'Raw Input'!M83</f>
        <v>0</v>
      </c>
      <c r="N117" s="63">
        <f>'Raw Input'!N83</f>
        <v>-283.5</v>
      </c>
      <c r="O117" s="63">
        <f>'Raw Input'!O83</f>
        <v>0</v>
      </c>
      <c r="P117" s="63">
        <f>'Raw Input'!P83</f>
        <v>0</v>
      </c>
      <c r="Q117" s="63">
        <f>'Raw Input'!Q83</f>
        <v>0</v>
      </c>
      <c r="R117" s="63">
        <f>'Raw Input'!R83</f>
        <v>0</v>
      </c>
      <c r="S117" s="63">
        <f>'Raw Input'!S83</f>
        <v>144.30000000000001</v>
      </c>
      <c r="T117" s="63">
        <f>'Raw Input'!T83</f>
        <v>0</v>
      </c>
      <c r="U117" s="63">
        <f>'Raw Input'!U83</f>
        <v>0</v>
      </c>
      <c r="V117" s="63">
        <f>'Raw Input'!V83</f>
        <v>0</v>
      </c>
      <c r="W117" s="63">
        <f>'Raw Input'!W83</f>
        <v>0</v>
      </c>
      <c r="X117" s="63">
        <f>'Raw Input'!X83</f>
        <v>329.3</v>
      </c>
      <c r="Y117" s="63">
        <f>'Raw Input'!Y83</f>
        <v>0</v>
      </c>
      <c r="Z117" s="63">
        <f>'Raw Input'!Z83</f>
        <v>0</v>
      </c>
      <c r="AA117" s="63">
        <f>'Raw Input'!AA83</f>
        <v>0</v>
      </c>
      <c r="AB117" s="63">
        <f>'Raw Input'!AB83</f>
        <v>0</v>
      </c>
      <c r="AC117" s="63">
        <f>'Raw Input'!AC83</f>
        <v>86.8</v>
      </c>
      <c r="AD117" s="63"/>
      <c r="AE117" s="63"/>
      <c r="AF117" s="63"/>
      <c r="AG117" s="63"/>
      <c r="AH117" s="63"/>
      <c r="AI117" s="63"/>
      <c r="AJ117" s="63"/>
    </row>
    <row r="118" spans="2:36" x14ac:dyDescent="0.25">
      <c r="B118" s="1" t="s">
        <v>230</v>
      </c>
      <c r="I118" s="63">
        <f>'Raw Input'!I84</f>
        <v>374</v>
      </c>
      <c r="J118" s="63">
        <f>'Raw Input'!J84</f>
        <v>0</v>
      </c>
      <c r="K118" s="63">
        <f>'Raw Input'!K84</f>
        <v>0</v>
      </c>
      <c r="L118" s="63">
        <f>'Raw Input'!L84</f>
        <v>0</v>
      </c>
      <c r="M118" s="63">
        <f>'Raw Input'!M84</f>
        <v>0</v>
      </c>
      <c r="N118" s="63">
        <f>'Raw Input'!N84</f>
        <v>118.4</v>
      </c>
      <c r="O118" s="63">
        <f>'Raw Input'!O84</f>
        <v>0</v>
      </c>
      <c r="P118" s="63">
        <f>'Raw Input'!P84</f>
        <v>0</v>
      </c>
      <c r="Q118" s="63">
        <f>'Raw Input'!Q84</f>
        <v>0</v>
      </c>
      <c r="R118" s="63">
        <f>'Raw Input'!R84</f>
        <v>0</v>
      </c>
      <c r="S118" s="63">
        <f>'Raw Input'!S84</f>
        <v>0</v>
      </c>
      <c r="T118" s="63">
        <f>'Raw Input'!T84</f>
        <v>0</v>
      </c>
      <c r="U118" s="63">
        <f>'Raw Input'!U84</f>
        <v>0</v>
      </c>
      <c r="V118" s="63">
        <f>'Raw Input'!V84</f>
        <v>0</v>
      </c>
      <c r="W118" s="63">
        <f>'Raw Input'!W84</f>
        <v>0</v>
      </c>
      <c r="X118" s="63">
        <f>'Raw Input'!X84</f>
        <v>0</v>
      </c>
      <c r="Y118" s="63">
        <f>'Raw Input'!Y84</f>
        <v>0</v>
      </c>
      <c r="Z118" s="63">
        <f>'Raw Input'!Z84</f>
        <v>0</v>
      </c>
      <c r="AA118" s="63">
        <f>'Raw Input'!AA84</f>
        <v>0</v>
      </c>
      <c r="AB118" s="63">
        <f>'Raw Input'!AB84</f>
        <v>0</v>
      </c>
      <c r="AC118" s="63">
        <f>'Raw Input'!AC84</f>
        <v>0</v>
      </c>
      <c r="AD118" s="63"/>
      <c r="AE118" s="63"/>
      <c r="AF118" s="63"/>
      <c r="AG118" s="63"/>
      <c r="AH118" s="63"/>
      <c r="AI118" s="63"/>
      <c r="AJ118" s="63"/>
    </row>
    <row r="119" spans="2:36" x14ac:dyDescent="0.25">
      <c r="B119" s="2" t="s">
        <v>209</v>
      </c>
      <c r="I119" s="63">
        <f>'Raw Input'!I85</f>
        <v>2420.6999999999998</v>
      </c>
      <c r="J119" s="63">
        <f>'Raw Input'!J85</f>
        <v>0</v>
      </c>
      <c r="K119" s="63">
        <f>'Raw Input'!K85</f>
        <v>0</v>
      </c>
      <c r="L119" s="63">
        <f>'Raw Input'!L85</f>
        <v>0</v>
      </c>
      <c r="M119" s="63">
        <f>'Raw Input'!M85</f>
        <v>0</v>
      </c>
      <c r="N119" s="63">
        <f>'Raw Input'!N85</f>
        <v>1860.2</v>
      </c>
      <c r="O119" s="63">
        <f>'Raw Input'!O85</f>
        <v>0</v>
      </c>
      <c r="P119" s="63">
        <f>'Raw Input'!P85</f>
        <v>0</v>
      </c>
      <c r="Q119" s="63">
        <f>'Raw Input'!Q85</f>
        <v>0</v>
      </c>
      <c r="R119" s="63">
        <f>'Raw Input'!R85</f>
        <v>0</v>
      </c>
      <c r="S119" s="63">
        <f>'Raw Input'!S85</f>
        <v>2061.9</v>
      </c>
      <c r="T119" s="63">
        <f>'Raw Input'!T85</f>
        <v>0</v>
      </c>
      <c r="U119" s="63">
        <f>'Raw Input'!U85</f>
        <v>0</v>
      </c>
      <c r="V119" s="63">
        <f>'Raw Input'!V85</f>
        <v>0</v>
      </c>
      <c r="W119" s="63">
        <f>'Raw Input'!W85</f>
        <v>0</v>
      </c>
      <c r="X119" s="63">
        <f>'Raw Input'!X85</f>
        <v>1788.4</v>
      </c>
      <c r="Y119" s="63">
        <f>'Raw Input'!Y85</f>
        <v>0</v>
      </c>
      <c r="Z119" s="63">
        <f>'Raw Input'!Z85</f>
        <v>0</v>
      </c>
      <c r="AA119" s="63">
        <f>'Raw Input'!AA85</f>
        <v>0</v>
      </c>
      <c r="AB119" s="63">
        <f>'Raw Input'!AB85</f>
        <v>0</v>
      </c>
      <c r="AC119" s="63">
        <f>'Raw Input'!AC85</f>
        <v>2411.8000000000002</v>
      </c>
      <c r="AD119" s="63"/>
      <c r="AE119" s="63"/>
      <c r="AF119" s="63"/>
      <c r="AG119" s="63"/>
      <c r="AH119" s="63"/>
      <c r="AI119" s="63"/>
      <c r="AJ119" s="63"/>
    </row>
    <row r="120" spans="2:36" x14ac:dyDescent="0.25">
      <c r="I120" s="63">
        <f>'Raw Input'!I86</f>
        <v>0</v>
      </c>
      <c r="J120" s="63">
        <f>'Raw Input'!J86</f>
        <v>0</v>
      </c>
      <c r="K120" s="63">
        <f>'Raw Input'!K86</f>
        <v>0</v>
      </c>
      <c r="L120" s="63">
        <f>'Raw Input'!L86</f>
        <v>0</v>
      </c>
      <c r="M120" s="63">
        <f>'Raw Input'!M86</f>
        <v>0</v>
      </c>
      <c r="N120" s="63">
        <f>'Raw Input'!N86</f>
        <v>0</v>
      </c>
      <c r="O120" s="63">
        <f>'Raw Input'!O86</f>
        <v>0</v>
      </c>
      <c r="P120" s="63">
        <f>'Raw Input'!P86</f>
        <v>0</v>
      </c>
      <c r="Q120" s="63">
        <f>'Raw Input'!Q86</f>
        <v>0</v>
      </c>
      <c r="R120" s="63">
        <f>'Raw Input'!R86</f>
        <v>0</v>
      </c>
      <c r="S120" s="63">
        <f>'Raw Input'!S86</f>
        <v>0</v>
      </c>
      <c r="T120" s="63">
        <f>'Raw Input'!T86</f>
        <v>0</v>
      </c>
      <c r="U120" s="63">
        <f>'Raw Input'!U86</f>
        <v>0</v>
      </c>
      <c r="V120" s="63">
        <f>'Raw Input'!V86</f>
        <v>0</v>
      </c>
      <c r="W120" s="63">
        <f>'Raw Input'!W86</f>
        <v>0</v>
      </c>
      <c r="X120" s="63">
        <f>'Raw Input'!X86</f>
        <v>0</v>
      </c>
      <c r="Y120" s="63">
        <f>'Raw Input'!Y86</f>
        <v>0</v>
      </c>
      <c r="Z120" s="63">
        <f>'Raw Input'!Z86</f>
        <v>0</v>
      </c>
      <c r="AA120" s="63">
        <f>'Raw Input'!AA86</f>
        <v>0</v>
      </c>
      <c r="AB120" s="63">
        <f>'Raw Input'!AB86</f>
        <v>0</v>
      </c>
      <c r="AC120" s="63">
        <f>'Raw Input'!AC86</f>
        <v>0</v>
      </c>
      <c r="AD120" s="63"/>
      <c r="AE120" s="63"/>
      <c r="AF120" s="63"/>
      <c r="AG120" s="63"/>
      <c r="AH120" s="63"/>
      <c r="AI120" s="69"/>
      <c r="AJ120" s="69"/>
    </row>
    <row r="121" spans="2:36" x14ac:dyDescent="0.25">
      <c r="B121" s="51" t="s">
        <v>59</v>
      </c>
      <c r="I121" s="63">
        <f>'Raw Input'!I87</f>
        <v>0</v>
      </c>
      <c r="J121" s="63">
        <f>'Raw Input'!J87</f>
        <v>0</v>
      </c>
      <c r="K121" s="63">
        <f>'Raw Input'!K87</f>
        <v>0</v>
      </c>
      <c r="L121" s="63">
        <f>'Raw Input'!L87</f>
        <v>0</v>
      </c>
      <c r="M121" s="63">
        <f>'Raw Input'!M87</f>
        <v>0</v>
      </c>
      <c r="N121" s="63">
        <f>'Raw Input'!N87</f>
        <v>0</v>
      </c>
      <c r="O121" s="63">
        <f>'Raw Input'!O87</f>
        <v>0</v>
      </c>
      <c r="P121" s="63">
        <f>'Raw Input'!P87</f>
        <v>0</v>
      </c>
      <c r="Q121" s="63">
        <f>'Raw Input'!Q87</f>
        <v>0</v>
      </c>
      <c r="R121" s="63">
        <f>'Raw Input'!R87</f>
        <v>0</v>
      </c>
      <c r="S121" s="63">
        <f>'Raw Input'!S87</f>
        <v>0</v>
      </c>
      <c r="T121" s="63">
        <f>'Raw Input'!T87</f>
        <v>0</v>
      </c>
      <c r="U121" s="63">
        <f>'Raw Input'!U87</f>
        <v>0</v>
      </c>
      <c r="V121" s="63">
        <f>'Raw Input'!V87</f>
        <v>0</v>
      </c>
      <c r="W121" s="63">
        <f>'Raw Input'!W87</f>
        <v>0</v>
      </c>
      <c r="X121" s="63">
        <f>'Raw Input'!X87</f>
        <v>0</v>
      </c>
      <c r="Y121" s="63">
        <f>'Raw Input'!Y87</f>
        <v>0</v>
      </c>
      <c r="Z121" s="63">
        <f>'Raw Input'!Z87</f>
        <v>0</v>
      </c>
      <c r="AA121" s="63">
        <f>'Raw Input'!AA87</f>
        <v>0</v>
      </c>
      <c r="AB121" s="63">
        <f>'Raw Input'!AB87</f>
        <v>0</v>
      </c>
      <c r="AC121" s="63">
        <f>'Raw Input'!AC87</f>
        <v>0</v>
      </c>
      <c r="AD121" s="63"/>
      <c r="AE121" s="63"/>
      <c r="AF121" s="63"/>
      <c r="AG121" s="63"/>
      <c r="AH121" s="63"/>
      <c r="AI121" s="63"/>
      <c r="AJ121" s="63"/>
    </row>
    <row r="122" spans="2:36" x14ac:dyDescent="0.25">
      <c r="B122" s="1" t="s">
        <v>211</v>
      </c>
      <c r="I122" s="63">
        <f>'Raw Input'!I88</f>
        <v>-731.3</v>
      </c>
      <c r="J122" s="63">
        <f>'Raw Input'!J88</f>
        <v>0</v>
      </c>
      <c r="K122" s="63">
        <f>'Raw Input'!K88</f>
        <v>0</v>
      </c>
      <c r="L122" s="63">
        <f>'Raw Input'!L88</f>
        <v>0</v>
      </c>
      <c r="M122" s="63">
        <f>'Raw Input'!M88</f>
        <v>0</v>
      </c>
      <c r="N122" s="63">
        <f>'Raw Input'!N88</f>
        <v>-489</v>
      </c>
      <c r="O122" s="63">
        <f>'Raw Input'!O88</f>
        <v>0</v>
      </c>
      <c r="P122" s="63">
        <f>'Raw Input'!P88</f>
        <v>0</v>
      </c>
      <c r="Q122" s="63">
        <f>'Raw Input'!Q88</f>
        <v>0</v>
      </c>
      <c r="R122" s="63">
        <f>'Raw Input'!R88</f>
        <v>0</v>
      </c>
      <c r="S122" s="63">
        <f>'Raw Input'!S88</f>
        <v>-643</v>
      </c>
      <c r="T122" s="63">
        <f>'Raw Input'!T88</f>
        <v>0</v>
      </c>
      <c r="U122" s="63">
        <f>'Raw Input'!U88</f>
        <v>0</v>
      </c>
      <c r="V122" s="63">
        <f>'Raw Input'!V88</f>
        <v>0</v>
      </c>
      <c r="W122" s="63">
        <f>'Raw Input'!W88</f>
        <v>0</v>
      </c>
      <c r="X122" s="63">
        <f>'Raw Input'!X88</f>
        <v>-712.8</v>
      </c>
      <c r="Y122" s="63">
        <f>'Raw Input'!Y88</f>
        <v>0</v>
      </c>
      <c r="Z122" s="63">
        <f>'Raw Input'!Z88</f>
        <v>0</v>
      </c>
      <c r="AA122" s="63">
        <f>'Raw Input'!AA88</f>
        <v>0</v>
      </c>
      <c r="AB122" s="63">
        <f>'Raw Input'!AB88</f>
        <v>0</v>
      </c>
      <c r="AC122" s="63">
        <f>'Raw Input'!AC88</f>
        <v>-774.8</v>
      </c>
      <c r="AD122" s="63"/>
      <c r="AE122" s="63"/>
      <c r="AF122" s="63"/>
      <c r="AG122" s="63"/>
      <c r="AH122" s="63"/>
      <c r="AI122" s="63"/>
      <c r="AJ122" s="63"/>
    </row>
    <row r="123" spans="2:36" x14ac:dyDescent="0.25">
      <c r="B123" s="1" t="s">
        <v>212</v>
      </c>
      <c r="I123" s="63">
        <f>'Raw Input'!I89</f>
        <v>7.5</v>
      </c>
      <c r="J123" s="63">
        <f>'Raw Input'!J89</f>
        <v>0</v>
      </c>
      <c r="K123" s="63">
        <f>'Raw Input'!K89</f>
        <v>0</v>
      </c>
      <c r="L123" s="63">
        <f>'Raw Input'!L89</f>
        <v>0</v>
      </c>
      <c r="M123" s="63">
        <f>'Raw Input'!M89</f>
        <v>0</v>
      </c>
      <c r="N123" s="63">
        <f>'Raw Input'!N89</f>
        <v>5.3</v>
      </c>
      <c r="O123" s="63">
        <f>'Raw Input'!O89</f>
        <v>0</v>
      </c>
      <c r="P123" s="63">
        <f>'Raw Input'!P89</f>
        <v>0</v>
      </c>
      <c r="Q123" s="63">
        <f>'Raw Input'!Q89</f>
        <v>0</v>
      </c>
      <c r="R123" s="63">
        <f>'Raw Input'!R89</f>
        <v>0</v>
      </c>
      <c r="S123" s="63">
        <f>'Raw Input'!S89</f>
        <v>12.2</v>
      </c>
      <c r="T123" s="63">
        <f>'Raw Input'!T89</f>
        <v>0</v>
      </c>
      <c r="U123" s="63">
        <f>'Raw Input'!U89</f>
        <v>0</v>
      </c>
      <c r="V123" s="63">
        <f>'Raw Input'!V89</f>
        <v>0</v>
      </c>
      <c r="W123" s="63">
        <f>'Raw Input'!W89</f>
        <v>0</v>
      </c>
      <c r="X123" s="63">
        <f>'Raw Input'!X89</f>
        <v>2.2000000000000002</v>
      </c>
      <c r="Y123" s="63">
        <f>'Raw Input'!Y89</f>
        <v>0</v>
      </c>
      <c r="Z123" s="63">
        <f>'Raw Input'!Z89</f>
        <v>0</v>
      </c>
      <c r="AA123" s="63">
        <f>'Raw Input'!AA89</f>
        <v>0</v>
      </c>
      <c r="AB123" s="63">
        <f>'Raw Input'!AB89</f>
        <v>0</v>
      </c>
      <c r="AC123" s="63">
        <f>'Raw Input'!AC89</f>
        <v>9.9</v>
      </c>
      <c r="AD123" s="63"/>
      <c r="AE123" s="63"/>
      <c r="AF123" s="63"/>
      <c r="AG123" s="63"/>
      <c r="AH123" s="63"/>
      <c r="AI123" s="63"/>
      <c r="AJ123" s="63"/>
    </row>
    <row r="124" spans="2:36" x14ac:dyDescent="0.25">
      <c r="B124" s="2" t="s">
        <v>213</v>
      </c>
      <c r="I124" s="63">
        <f>'Raw Input'!I90</f>
        <v>-391.4</v>
      </c>
      <c r="J124" s="63">
        <f>'Raw Input'!J90</f>
        <v>0</v>
      </c>
      <c r="K124" s="63">
        <f>'Raw Input'!K90</f>
        <v>0</v>
      </c>
      <c r="L124" s="63">
        <f>'Raw Input'!L90</f>
        <v>0</v>
      </c>
      <c r="M124" s="63">
        <f>'Raw Input'!M90</f>
        <v>0</v>
      </c>
      <c r="N124" s="63">
        <f>'Raw Input'!N90</f>
        <v>-487</v>
      </c>
      <c r="O124" s="63">
        <f>'Raw Input'!O90</f>
        <v>0</v>
      </c>
      <c r="P124" s="63">
        <f>'Raw Input'!P90</f>
        <v>0</v>
      </c>
      <c r="Q124" s="63">
        <f>'Raw Input'!Q90</f>
        <v>0</v>
      </c>
      <c r="R124" s="63">
        <f>'Raw Input'!R90</f>
        <v>0</v>
      </c>
      <c r="S124" s="63">
        <f>'Raw Input'!S90</f>
        <v>-3923.7</v>
      </c>
      <c r="T124" s="63">
        <f>'Raw Input'!T90</f>
        <v>0</v>
      </c>
      <c r="U124" s="63">
        <f>'Raw Input'!U90</f>
        <v>0</v>
      </c>
      <c r="V124" s="63">
        <f>'Raw Input'!V90</f>
        <v>0</v>
      </c>
      <c r="W124" s="63">
        <f>'Raw Input'!W90</f>
        <v>0</v>
      </c>
      <c r="X124" s="63">
        <f>'Raw Input'!X90</f>
        <v>-7.2</v>
      </c>
      <c r="Y124" s="63">
        <f>'Raw Input'!Y90</f>
        <v>0</v>
      </c>
      <c r="Z124" s="63">
        <f>'Raw Input'!Z90</f>
        <v>0</v>
      </c>
      <c r="AA124" s="63">
        <f>'Raw Input'!AA90</f>
        <v>0</v>
      </c>
      <c r="AB124" s="63">
        <f>'Raw Input'!AB90</f>
        <v>0</v>
      </c>
      <c r="AC124" s="63">
        <f>'Raw Input'!AC90</f>
        <v>-180.4</v>
      </c>
      <c r="AD124" s="63"/>
      <c r="AE124" s="63"/>
      <c r="AF124" s="63"/>
      <c r="AG124" s="63"/>
      <c r="AH124" s="63"/>
      <c r="AI124" s="63"/>
      <c r="AJ124" s="63"/>
    </row>
    <row r="125" spans="2:36" x14ac:dyDescent="0.25">
      <c r="B125" s="1" t="s">
        <v>203</v>
      </c>
      <c r="I125" s="63">
        <f>'Raw Input'!I91</f>
        <v>6.8</v>
      </c>
      <c r="J125" s="63">
        <f>'Raw Input'!J91</f>
        <v>0</v>
      </c>
      <c r="K125" s="63">
        <f>'Raw Input'!K91</f>
        <v>0</v>
      </c>
      <c r="L125" s="63">
        <f>'Raw Input'!L91</f>
        <v>0</v>
      </c>
      <c r="M125" s="63">
        <f>'Raw Input'!M91</f>
        <v>0</v>
      </c>
      <c r="N125" s="63">
        <f>'Raw Input'!N91</f>
        <v>116.2</v>
      </c>
      <c r="O125" s="63">
        <f>'Raw Input'!O91</f>
        <v>0</v>
      </c>
      <c r="P125" s="63">
        <f>'Raw Input'!P91</f>
        <v>0</v>
      </c>
      <c r="Q125" s="63">
        <f>'Raw Input'!Q91</f>
        <v>0</v>
      </c>
      <c r="R125" s="63">
        <f>'Raw Input'!R91</f>
        <v>0</v>
      </c>
      <c r="S125" s="63">
        <f>'Raw Input'!S91</f>
        <v>-25.2</v>
      </c>
      <c r="T125" s="63">
        <f>'Raw Input'!T91</f>
        <v>0</v>
      </c>
      <c r="U125" s="63">
        <f>'Raw Input'!U91</f>
        <v>0</v>
      </c>
      <c r="V125" s="63">
        <f>'Raw Input'!V91</f>
        <v>0</v>
      </c>
      <c r="W125" s="63">
        <f>'Raw Input'!W91</f>
        <v>0</v>
      </c>
      <c r="X125" s="63">
        <f>'Raw Input'!X91</f>
        <v>1</v>
      </c>
      <c r="Y125" s="63">
        <f>'Raw Input'!Y91</f>
        <v>0</v>
      </c>
      <c r="Z125" s="63">
        <f>'Raw Input'!Z91</f>
        <v>0</v>
      </c>
      <c r="AA125" s="63">
        <f>'Raw Input'!AA91</f>
        <v>0</v>
      </c>
      <c r="AB125" s="63">
        <f>'Raw Input'!AB91</f>
        <v>0</v>
      </c>
      <c r="AC125" s="63">
        <f>'Raw Input'!AC91</f>
        <v>-45.2</v>
      </c>
      <c r="AD125" s="63"/>
      <c r="AE125" s="63"/>
      <c r="AF125" s="63"/>
      <c r="AG125" s="63"/>
      <c r="AH125" s="69"/>
      <c r="AI125" s="69"/>
      <c r="AJ125" s="69"/>
    </row>
    <row r="126" spans="2:36" x14ac:dyDescent="0.25">
      <c r="B126" s="2" t="s">
        <v>214</v>
      </c>
      <c r="I126" s="63">
        <f>'Raw Input'!I92</f>
        <v>-1199.0999999999999</v>
      </c>
      <c r="J126" s="63">
        <f>'Raw Input'!J92</f>
        <v>0</v>
      </c>
      <c r="K126" s="63">
        <f>'Raw Input'!K92</f>
        <v>0</v>
      </c>
      <c r="L126" s="63">
        <f>'Raw Input'!L92</f>
        <v>0</v>
      </c>
      <c r="M126" s="63">
        <f>'Raw Input'!M92</f>
        <v>0</v>
      </c>
      <c r="N126" s="63">
        <f>'Raw Input'!N92</f>
        <v>-414.5</v>
      </c>
      <c r="O126" s="63">
        <f>'Raw Input'!O92</f>
        <v>0</v>
      </c>
      <c r="P126" s="63">
        <f>'Raw Input'!P92</f>
        <v>0</v>
      </c>
      <c r="Q126" s="63">
        <f>'Raw Input'!Q92</f>
        <v>0</v>
      </c>
      <c r="R126" s="63">
        <f>'Raw Input'!R92</f>
        <v>0</v>
      </c>
      <c r="S126" s="63">
        <f>'Raw Input'!S92</f>
        <v>-4579.7</v>
      </c>
      <c r="T126" s="63">
        <f>'Raw Input'!T92</f>
        <v>0</v>
      </c>
      <c r="U126" s="63">
        <f>'Raw Input'!U92</f>
        <v>0</v>
      </c>
      <c r="V126" s="63">
        <f>'Raw Input'!V92</f>
        <v>0</v>
      </c>
      <c r="W126" s="63">
        <f>'Raw Input'!W92</f>
        <v>0</v>
      </c>
      <c r="X126" s="63">
        <f>'Raw Input'!X92</f>
        <v>-716.8</v>
      </c>
      <c r="Y126" s="63">
        <f>'Raw Input'!Y92</f>
        <v>0</v>
      </c>
      <c r="Z126" s="63">
        <f>'Raw Input'!Z92</f>
        <v>0</v>
      </c>
      <c r="AA126" s="63">
        <f>'Raw Input'!AA92</f>
        <v>0</v>
      </c>
      <c r="AB126" s="63">
        <f>'Raw Input'!AB92</f>
        <v>0</v>
      </c>
      <c r="AC126" s="63">
        <f>'Raw Input'!AC92</f>
        <v>-990.5</v>
      </c>
      <c r="AD126" s="63"/>
      <c r="AE126" s="63"/>
      <c r="AF126" s="63"/>
      <c r="AG126" s="63"/>
      <c r="AH126" s="63"/>
      <c r="AI126" s="63"/>
      <c r="AJ126" s="63"/>
    </row>
    <row r="127" spans="2:36" x14ac:dyDescent="0.25">
      <c r="I127" s="63">
        <f>'Raw Input'!I93</f>
        <v>0</v>
      </c>
      <c r="J127" s="63">
        <f>'Raw Input'!J93</f>
        <v>0</v>
      </c>
      <c r="K127" s="63">
        <f>'Raw Input'!K93</f>
        <v>0</v>
      </c>
      <c r="L127" s="63">
        <f>'Raw Input'!L93</f>
        <v>0</v>
      </c>
      <c r="M127" s="63">
        <f>'Raw Input'!M93</f>
        <v>0</v>
      </c>
      <c r="N127" s="63">
        <f>'Raw Input'!N93</f>
        <v>0</v>
      </c>
      <c r="O127" s="63">
        <f>'Raw Input'!O93</f>
        <v>0</v>
      </c>
      <c r="P127" s="63">
        <f>'Raw Input'!P93</f>
        <v>0</v>
      </c>
      <c r="Q127" s="63">
        <f>'Raw Input'!Q93</f>
        <v>0</v>
      </c>
      <c r="R127" s="63">
        <f>'Raw Input'!R93</f>
        <v>0</v>
      </c>
      <c r="S127" s="63">
        <f>'Raw Input'!S93</f>
        <v>0</v>
      </c>
      <c r="T127" s="63">
        <f>'Raw Input'!T93</f>
        <v>0</v>
      </c>
      <c r="U127" s="63">
        <f>'Raw Input'!U93</f>
        <v>0</v>
      </c>
      <c r="V127" s="63">
        <f>'Raw Input'!V93</f>
        <v>0</v>
      </c>
      <c r="W127" s="63">
        <f>'Raw Input'!W93</f>
        <v>0</v>
      </c>
      <c r="X127" s="63">
        <f>'Raw Input'!X93</f>
        <v>0</v>
      </c>
      <c r="Y127" s="63">
        <f>'Raw Input'!Y93</f>
        <v>0</v>
      </c>
      <c r="Z127" s="63">
        <f>'Raw Input'!Z93</f>
        <v>0</v>
      </c>
      <c r="AA127" s="63">
        <f>'Raw Input'!AA93</f>
        <v>0</v>
      </c>
      <c r="AB127" s="63">
        <f>'Raw Input'!AB93</f>
        <v>0</v>
      </c>
      <c r="AC127" s="63">
        <f>'Raw Input'!AC93</f>
        <v>0</v>
      </c>
      <c r="AD127" s="63"/>
      <c r="AE127" s="63"/>
      <c r="AF127" s="63"/>
      <c r="AG127" s="63"/>
      <c r="AH127" s="63"/>
      <c r="AI127" s="63"/>
      <c r="AJ127" s="63"/>
    </row>
    <row r="128" spans="2:36" x14ac:dyDescent="0.25">
      <c r="B128" s="51" t="s">
        <v>60</v>
      </c>
      <c r="I128" s="63">
        <f>'Raw Input'!I94</f>
        <v>0</v>
      </c>
      <c r="J128" s="63">
        <f>'Raw Input'!J94</f>
        <v>0</v>
      </c>
      <c r="K128" s="63">
        <f>'Raw Input'!K94</f>
        <v>0</v>
      </c>
      <c r="L128" s="63">
        <f>'Raw Input'!L94</f>
        <v>0</v>
      </c>
      <c r="M128" s="63">
        <f>'Raw Input'!M94</f>
        <v>0</v>
      </c>
      <c r="N128" s="63">
        <f>'Raw Input'!N94</f>
        <v>0</v>
      </c>
      <c r="O128" s="63">
        <f>'Raw Input'!O94</f>
        <v>0</v>
      </c>
      <c r="P128" s="63">
        <f>'Raw Input'!P94</f>
        <v>0</v>
      </c>
      <c r="Q128" s="63">
        <f>'Raw Input'!Q94</f>
        <v>0</v>
      </c>
      <c r="R128" s="63">
        <f>'Raw Input'!R94</f>
        <v>0</v>
      </c>
      <c r="S128" s="63">
        <f>'Raw Input'!S94</f>
        <v>0</v>
      </c>
      <c r="T128" s="63">
        <f>'Raw Input'!T94</f>
        <v>0</v>
      </c>
      <c r="U128" s="63">
        <f>'Raw Input'!U94</f>
        <v>0</v>
      </c>
      <c r="V128" s="63">
        <f>'Raw Input'!V94</f>
        <v>0</v>
      </c>
      <c r="W128" s="63">
        <f>'Raw Input'!W94</f>
        <v>0</v>
      </c>
      <c r="X128" s="63">
        <f>'Raw Input'!X94</f>
        <v>0</v>
      </c>
      <c r="Y128" s="63">
        <f>'Raw Input'!Y94</f>
        <v>0</v>
      </c>
      <c r="Z128" s="63">
        <f>'Raw Input'!Z94</f>
        <v>0</v>
      </c>
      <c r="AA128" s="63">
        <f>'Raw Input'!AA94</f>
        <v>0</v>
      </c>
      <c r="AB128" s="63">
        <f>'Raw Input'!AB94</f>
        <v>0</v>
      </c>
      <c r="AC128" s="63">
        <f>'Raw Input'!AC94</f>
        <v>0</v>
      </c>
      <c r="AD128" s="63"/>
      <c r="AE128" s="63"/>
      <c r="AF128" s="63"/>
      <c r="AG128" s="63"/>
      <c r="AH128" s="63"/>
      <c r="AI128" s="63"/>
      <c r="AJ128" s="63"/>
    </row>
    <row r="129" spans="2:36" x14ac:dyDescent="0.25">
      <c r="B129" s="2" t="s">
        <v>215</v>
      </c>
      <c r="I129" s="63">
        <f>'Raw Input'!I95</f>
        <v>-252</v>
      </c>
      <c r="J129" s="63">
        <f>'Raw Input'!J95</f>
        <v>0</v>
      </c>
      <c r="K129" s="63">
        <f>'Raw Input'!K95</f>
        <v>0</v>
      </c>
      <c r="L129" s="63">
        <f>'Raw Input'!L95</f>
        <v>0</v>
      </c>
      <c r="M129" s="63">
        <f>'Raw Input'!M95</f>
        <v>0</v>
      </c>
      <c r="N129" s="63">
        <f>'Raw Input'!N95</f>
        <v>-65.5</v>
      </c>
      <c r="O129" s="63">
        <f>'Raw Input'!O95</f>
        <v>0</v>
      </c>
      <c r="P129" s="63">
        <f>'Raw Input'!P95</f>
        <v>0</v>
      </c>
      <c r="Q129" s="63">
        <f>'Raw Input'!Q95</f>
        <v>0</v>
      </c>
      <c r="R129" s="63">
        <f>'Raw Input'!R95</f>
        <v>0</v>
      </c>
      <c r="S129" s="63">
        <f>'Raw Input'!S95</f>
        <v>393.6</v>
      </c>
      <c r="T129" s="63">
        <f>'Raw Input'!T95</f>
        <v>0</v>
      </c>
      <c r="U129" s="63">
        <f>'Raw Input'!U95</f>
        <v>0</v>
      </c>
      <c r="V129" s="63">
        <f>'Raw Input'!V95</f>
        <v>0</v>
      </c>
      <c r="W129" s="63">
        <f>'Raw Input'!W95</f>
        <v>0</v>
      </c>
      <c r="X129" s="63">
        <f>'Raw Input'!X95</f>
        <v>-404.3</v>
      </c>
      <c r="Y129" s="63">
        <f>'Raw Input'!Y95</f>
        <v>0</v>
      </c>
      <c r="Z129" s="63">
        <f>'Raw Input'!Z95</f>
        <v>0</v>
      </c>
      <c r="AA129" s="63">
        <f>'Raw Input'!AA95</f>
        <v>0</v>
      </c>
      <c r="AB129" s="63">
        <f>'Raw Input'!AB95</f>
        <v>0</v>
      </c>
      <c r="AC129" s="63">
        <f>'Raw Input'!AC95</f>
        <v>-1.9</v>
      </c>
      <c r="AD129" s="63"/>
      <c r="AE129" s="63"/>
      <c r="AF129" s="63"/>
      <c r="AG129" s="63"/>
      <c r="AH129" s="63"/>
      <c r="AI129" s="63"/>
      <c r="AJ129" s="63"/>
    </row>
    <row r="130" spans="2:36" x14ac:dyDescent="0.25">
      <c r="B130" s="1" t="s">
        <v>216</v>
      </c>
      <c r="I130" s="63">
        <f>'Raw Input'!I96</f>
        <v>0</v>
      </c>
      <c r="J130" s="63">
        <f>'Raw Input'!J96</f>
        <v>0</v>
      </c>
      <c r="K130" s="63">
        <f>'Raw Input'!K96</f>
        <v>0</v>
      </c>
      <c r="L130" s="63">
        <f>'Raw Input'!L96</f>
        <v>0</v>
      </c>
      <c r="M130" s="63">
        <f>'Raw Input'!M96</f>
        <v>0</v>
      </c>
      <c r="N130" s="63">
        <f>'Raw Input'!N96</f>
        <v>1855.9</v>
      </c>
      <c r="O130" s="63">
        <f>'Raw Input'!O96</f>
        <v>0</v>
      </c>
      <c r="P130" s="63">
        <f>'Raw Input'!P96</f>
        <v>0</v>
      </c>
      <c r="Q130" s="63">
        <f>'Raw Input'!Q96</f>
        <v>0</v>
      </c>
      <c r="R130" s="63">
        <f>'Raw Input'!R96</f>
        <v>0</v>
      </c>
      <c r="S130" s="63">
        <f>'Raw Input'!S96</f>
        <v>2775</v>
      </c>
      <c r="T130" s="63">
        <f>'Raw Input'!T96</f>
        <v>0</v>
      </c>
      <c r="U130" s="63">
        <f>'Raw Input'!U96</f>
        <v>0</v>
      </c>
      <c r="V130" s="63">
        <f>'Raw Input'!V96</f>
        <v>0</v>
      </c>
      <c r="W130" s="63">
        <f>'Raw Input'!W96</f>
        <v>0</v>
      </c>
      <c r="X130" s="63">
        <f>'Raw Input'!X96</f>
        <v>494</v>
      </c>
      <c r="Y130" s="63">
        <f>'Raw Input'!Y96</f>
        <v>0</v>
      </c>
      <c r="Z130" s="63">
        <f>'Raw Input'!Z96</f>
        <v>0</v>
      </c>
      <c r="AA130" s="63">
        <f>'Raw Input'!AA96</f>
        <v>0</v>
      </c>
      <c r="AB130" s="63">
        <f>'Raw Input'!AB96</f>
        <v>0</v>
      </c>
      <c r="AC130" s="63">
        <f>'Raw Input'!AC96</f>
        <v>0</v>
      </c>
      <c r="AD130" s="63"/>
      <c r="AE130" s="63"/>
      <c r="AF130" s="63"/>
      <c r="AG130" s="63"/>
      <c r="AH130" s="63"/>
      <c r="AI130" s="63"/>
      <c r="AJ130" s="63"/>
    </row>
    <row r="131" spans="2:36" x14ac:dyDescent="0.25">
      <c r="B131" s="1" t="s">
        <v>217</v>
      </c>
      <c r="I131" s="63">
        <f>'Raw Input'!I97</f>
        <v>-400.6</v>
      </c>
      <c r="J131" s="63">
        <f>'Raw Input'!J97</f>
        <v>0</v>
      </c>
      <c r="K131" s="63">
        <f>'Raw Input'!K97</f>
        <v>0</v>
      </c>
      <c r="L131" s="63">
        <f>'Raw Input'!L97</f>
        <v>0</v>
      </c>
      <c r="M131" s="63">
        <f>'Raw Input'!M97</f>
        <v>0</v>
      </c>
      <c r="N131" s="63">
        <f>'Raw Input'!N97</f>
        <v>-1570</v>
      </c>
      <c r="O131" s="63">
        <f>'Raw Input'!O97</f>
        <v>0</v>
      </c>
      <c r="P131" s="63">
        <f>'Raw Input'!P97</f>
        <v>0</v>
      </c>
      <c r="Q131" s="63">
        <f>'Raw Input'!Q97</f>
        <v>0</v>
      </c>
      <c r="R131" s="63">
        <f>'Raw Input'!R97</f>
        <v>0</v>
      </c>
      <c r="S131" s="63">
        <f>'Raw Input'!S97</f>
        <v>-1017.9</v>
      </c>
      <c r="T131" s="63">
        <f>'Raw Input'!T97</f>
        <v>0</v>
      </c>
      <c r="U131" s="63">
        <f>'Raw Input'!U97</f>
        <v>0</v>
      </c>
      <c r="V131" s="63">
        <f>'Raw Input'!V97</f>
        <v>0</v>
      </c>
      <c r="W131" s="63">
        <f>'Raw Input'!W97</f>
        <v>0</v>
      </c>
      <c r="X131" s="63">
        <f>'Raw Input'!X97</f>
        <v>0</v>
      </c>
      <c r="Y131" s="63">
        <f>'Raw Input'!Y97</f>
        <v>0</v>
      </c>
      <c r="Z131" s="63">
        <f>'Raw Input'!Z97</f>
        <v>0</v>
      </c>
      <c r="AA131" s="63">
        <f>'Raw Input'!AA97</f>
        <v>0</v>
      </c>
      <c r="AB131" s="63">
        <f>'Raw Input'!AB97</f>
        <v>0</v>
      </c>
      <c r="AC131" s="63">
        <f>'Raw Input'!AC97</f>
        <v>-500</v>
      </c>
      <c r="AD131" s="63"/>
      <c r="AE131" s="63"/>
      <c r="AF131" s="63"/>
      <c r="AG131" s="63"/>
      <c r="AH131" s="63"/>
      <c r="AI131" s="63"/>
      <c r="AJ131" s="63"/>
    </row>
    <row r="132" spans="2:36" x14ac:dyDescent="0.25">
      <c r="B132" s="1" t="s">
        <v>218</v>
      </c>
      <c r="I132" s="63">
        <f>'Raw Input'!I98</f>
        <v>-353.7</v>
      </c>
      <c r="J132" s="63">
        <f>'Raw Input'!J98</f>
        <v>0</v>
      </c>
      <c r="K132" s="63">
        <f>'Raw Input'!K98</f>
        <v>0</v>
      </c>
      <c r="L132" s="63">
        <f>'Raw Input'!L98</f>
        <v>0</v>
      </c>
      <c r="M132" s="63">
        <f>'Raw Input'!M98</f>
        <v>0</v>
      </c>
      <c r="N132" s="63">
        <f>'Raw Input'!N98</f>
        <v>-146.19999999999999</v>
      </c>
      <c r="O132" s="63">
        <f>'Raw Input'!O98</f>
        <v>0</v>
      </c>
      <c r="P132" s="63">
        <f>'Raw Input'!P98</f>
        <v>0</v>
      </c>
      <c r="Q132" s="63">
        <f>'Raw Input'!Q98</f>
        <v>0</v>
      </c>
      <c r="R132" s="63">
        <f>'Raw Input'!R98</f>
        <v>0</v>
      </c>
      <c r="S132" s="63">
        <f>'Raw Input'!S98</f>
        <v>-106.6</v>
      </c>
      <c r="T132" s="63">
        <f>'Raw Input'!T98</f>
        <v>0</v>
      </c>
      <c r="U132" s="63">
        <f>'Raw Input'!U98</f>
        <v>0</v>
      </c>
      <c r="V132" s="63">
        <f>'Raw Input'!V98</f>
        <v>0</v>
      </c>
      <c r="W132" s="63">
        <f>'Raw Input'!W98</f>
        <v>0</v>
      </c>
      <c r="X132" s="63">
        <f>'Raw Input'!X98</f>
        <v>-518.20000000000005</v>
      </c>
      <c r="Y132" s="63">
        <f>'Raw Input'!Y98</f>
        <v>0</v>
      </c>
      <c r="Z132" s="63">
        <f>'Raw Input'!Z98</f>
        <v>0</v>
      </c>
      <c r="AA132" s="63">
        <f>'Raw Input'!AA98</f>
        <v>0</v>
      </c>
      <c r="AB132" s="63">
        <f>'Raw Input'!AB98</f>
        <v>0</v>
      </c>
      <c r="AC132" s="63">
        <f>'Raw Input'!AC98</f>
        <v>-13.73</v>
      </c>
      <c r="AD132" s="63"/>
      <c r="AE132" s="63"/>
      <c r="AF132" s="63"/>
      <c r="AG132" s="63"/>
      <c r="AH132" s="63"/>
      <c r="AI132" s="63"/>
      <c r="AJ132" s="63"/>
    </row>
    <row r="133" spans="2:36" x14ac:dyDescent="0.25">
      <c r="B133" s="1" t="s">
        <v>219</v>
      </c>
      <c r="I133" s="63">
        <f>'Raw Input'!I99</f>
        <v>-552.9</v>
      </c>
      <c r="J133" s="63">
        <f>'Raw Input'!J99</f>
        <v>0</v>
      </c>
      <c r="K133" s="63">
        <f>'Raw Input'!K99</f>
        <v>0</v>
      </c>
      <c r="L133" s="63">
        <f>'Raw Input'!L99</f>
        <v>0</v>
      </c>
      <c r="M133" s="63">
        <f>'Raw Input'!M99</f>
        <v>0</v>
      </c>
      <c r="N133" s="63">
        <f>'Raw Input'!N99</f>
        <v>-560.79999999999995</v>
      </c>
      <c r="O133" s="63">
        <f>'Raw Input'!O99</f>
        <v>0</v>
      </c>
      <c r="P133" s="63">
        <f>'Raw Input'!P99</f>
        <v>0</v>
      </c>
      <c r="Q133" s="63">
        <f>'Raw Input'!Q99</f>
        <v>0</v>
      </c>
      <c r="R133" s="63">
        <f>'Raw Input'!R99</f>
        <v>0</v>
      </c>
      <c r="S133" s="63">
        <f>'Raw Input'!S99</f>
        <v>-566.4</v>
      </c>
      <c r="T133" s="63">
        <f>'Raw Input'!T99</f>
        <v>0</v>
      </c>
      <c r="U133" s="63">
        <f>'Raw Input'!U99</f>
        <v>0</v>
      </c>
      <c r="V133" s="63">
        <f>'Raw Input'!V99</f>
        <v>0</v>
      </c>
      <c r="W133" s="63">
        <f>'Raw Input'!W99</f>
        <v>0</v>
      </c>
      <c r="X133" s="63">
        <f>'Raw Input'!X99</f>
        <v>-602.79999999999995</v>
      </c>
      <c r="Y133" s="63">
        <f>'Raw Input'!Y99</f>
        <v>0</v>
      </c>
      <c r="Z133" s="63">
        <f>'Raw Input'!Z99</f>
        <v>0</v>
      </c>
      <c r="AA133" s="63">
        <f>'Raw Input'!AA99</f>
        <v>0</v>
      </c>
      <c r="AB133" s="63">
        <f>'Raw Input'!AB99</f>
        <v>0</v>
      </c>
      <c r="AC133" s="63">
        <f>'Raw Input'!AC99</f>
        <v>-617.29999999999995</v>
      </c>
      <c r="AD133" s="63"/>
      <c r="AE133" s="63"/>
      <c r="AF133" s="63"/>
      <c r="AG133" s="63"/>
      <c r="AH133" s="63"/>
      <c r="AI133" s="63"/>
      <c r="AJ133" s="63"/>
    </row>
    <row r="134" spans="2:36" x14ac:dyDescent="0.25">
      <c r="B134" s="2" t="s">
        <v>220</v>
      </c>
      <c r="I134" s="63">
        <f>'Raw Input'!I100</f>
        <v>186.8</v>
      </c>
      <c r="J134" s="63">
        <f>'Raw Input'!J100</f>
        <v>0</v>
      </c>
      <c r="K134" s="63">
        <f>'Raw Input'!K100</f>
        <v>0</v>
      </c>
      <c r="L134" s="63">
        <f>'Raw Input'!L100</f>
        <v>0</v>
      </c>
      <c r="M134" s="63">
        <f>'Raw Input'!M100</f>
        <v>0</v>
      </c>
      <c r="N134" s="63">
        <f>'Raw Input'!N100</f>
        <v>241.5</v>
      </c>
      <c r="O134" s="63">
        <f>'Raw Input'!O100</f>
        <v>0</v>
      </c>
      <c r="P134" s="63">
        <f>'Raw Input'!P100</f>
        <v>0</v>
      </c>
      <c r="Q134" s="63">
        <f>'Raw Input'!Q100</f>
        <v>0</v>
      </c>
      <c r="R134" s="63">
        <f>'Raw Input'!R100</f>
        <v>0</v>
      </c>
      <c r="S134" s="63">
        <f>'Raw Input'!S100</f>
        <v>143.5</v>
      </c>
      <c r="T134" s="63">
        <f>'Raw Input'!T100</f>
        <v>0</v>
      </c>
      <c r="U134" s="63">
        <f>'Raw Input'!U100</f>
        <v>0</v>
      </c>
      <c r="V134" s="63">
        <f>'Raw Input'!V100</f>
        <v>0</v>
      </c>
      <c r="W134" s="63">
        <f>'Raw Input'!W100</f>
        <v>0</v>
      </c>
      <c r="X134" s="63">
        <f>'Raw Input'!X100</f>
        <v>29.1</v>
      </c>
      <c r="Y134" s="63">
        <f>'Raw Input'!Y100</f>
        <v>0</v>
      </c>
      <c r="Z134" s="63">
        <f>'Raw Input'!Z100</f>
        <v>0</v>
      </c>
      <c r="AA134" s="63">
        <f>'Raw Input'!AA100</f>
        <v>0</v>
      </c>
      <c r="AB134" s="63">
        <f>'Raw Input'!AB100</f>
        <v>0</v>
      </c>
      <c r="AC134" s="63">
        <f>'Raw Input'!AC100</f>
        <v>96.8</v>
      </c>
      <c r="AD134" s="63"/>
      <c r="AE134" s="63"/>
      <c r="AF134" s="63"/>
      <c r="AG134" s="63"/>
      <c r="AH134" s="63"/>
      <c r="AI134" s="63"/>
      <c r="AJ134" s="63"/>
    </row>
    <row r="135" spans="2:36" x14ac:dyDescent="0.25">
      <c r="B135" s="1" t="s">
        <v>202</v>
      </c>
      <c r="I135" s="63">
        <f>'Raw Input'!I101</f>
        <v>0</v>
      </c>
      <c r="J135" s="63">
        <f>'Raw Input'!J101</f>
        <v>0</v>
      </c>
      <c r="K135" s="63">
        <f>'Raw Input'!K101</f>
        <v>0</v>
      </c>
      <c r="L135" s="63">
        <f>'Raw Input'!L101</f>
        <v>0</v>
      </c>
      <c r="M135" s="63">
        <f>'Raw Input'!M101</f>
        <v>0</v>
      </c>
      <c r="N135" s="63">
        <f>'Raw Input'!N101</f>
        <v>-77.099999999999994</v>
      </c>
      <c r="O135" s="63">
        <f>'Raw Input'!O101</f>
        <v>0</v>
      </c>
      <c r="P135" s="63">
        <f>'Raw Input'!P101</f>
        <v>0</v>
      </c>
      <c r="Q135" s="63">
        <f>'Raw Input'!Q101</f>
        <v>0</v>
      </c>
      <c r="R135" s="63">
        <f>'Raw Input'!R101</f>
        <v>0</v>
      </c>
      <c r="S135" s="63">
        <f>'Raw Input'!S101</f>
        <v>-29.4</v>
      </c>
      <c r="T135" s="63">
        <f>'Raw Input'!T101</f>
        <v>0</v>
      </c>
      <c r="U135" s="63">
        <f>'Raw Input'!U101</f>
        <v>0</v>
      </c>
      <c r="V135" s="63">
        <f>'Raw Input'!V101</f>
        <v>0</v>
      </c>
      <c r="W135" s="63">
        <f>'Raw Input'!W101</f>
        <v>0</v>
      </c>
      <c r="X135" s="63">
        <f>'Raw Input'!X101</f>
        <v>0</v>
      </c>
      <c r="Y135" s="63">
        <f>'Raw Input'!Y101</f>
        <v>0</v>
      </c>
      <c r="Z135" s="63">
        <f>'Raw Input'!Z101</f>
        <v>0</v>
      </c>
      <c r="AA135" s="63">
        <f>'Raw Input'!AA101</f>
        <v>0</v>
      </c>
      <c r="AB135" s="63">
        <f>'Raw Input'!AB101</f>
        <v>0</v>
      </c>
      <c r="AC135" s="63">
        <f>'Raw Input'!AC101</f>
        <v>0</v>
      </c>
      <c r="AD135" s="63"/>
      <c r="AE135" s="63"/>
      <c r="AF135" s="63"/>
      <c r="AG135" s="63"/>
      <c r="AH135" s="63"/>
      <c r="AI135" s="63"/>
      <c r="AJ135" s="63"/>
    </row>
    <row r="136" spans="2:36" x14ac:dyDescent="0.25">
      <c r="B136" s="1" t="s">
        <v>221</v>
      </c>
      <c r="I136" s="63">
        <f>'Raw Input'!I102</f>
        <v>0</v>
      </c>
      <c r="J136" s="63">
        <f>'Raw Input'!J102</f>
        <v>0</v>
      </c>
      <c r="K136" s="63">
        <f>'Raw Input'!K102</f>
        <v>0</v>
      </c>
      <c r="L136" s="63">
        <f>'Raw Input'!L102</f>
        <v>0</v>
      </c>
      <c r="M136" s="63">
        <f>'Raw Input'!M102</f>
        <v>0</v>
      </c>
      <c r="N136" s="63">
        <f>'Raw Input'!N102</f>
        <v>0</v>
      </c>
      <c r="O136" s="63">
        <f>'Raw Input'!O102</f>
        <v>0</v>
      </c>
      <c r="P136" s="63">
        <f>'Raw Input'!P102</f>
        <v>0</v>
      </c>
      <c r="Q136" s="63">
        <f>'Raw Input'!Q102</f>
        <v>0</v>
      </c>
      <c r="R136" s="63">
        <f>'Raw Input'!R102</f>
        <v>0</v>
      </c>
      <c r="S136" s="63">
        <f>'Raw Input'!S102</f>
        <v>25.9</v>
      </c>
      <c r="T136" s="63">
        <f>'Raw Input'!T102</f>
        <v>0</v>
      </c>
      <c r="U136" s="63">
        <f>'Raw Input'!U102</f>
        <v>0</v>
      </c>
      <c r="V136" s="63">
        <f>'Raw Input'!V102</f>
        <v>0</v>
      </c>
      <c r="W136" s="63">
        <f>'Raw Input'!W102</f>
        <v>0</v>
      </c>
      <c r="X136" s="63">
        <f>'Raw Input'!X102</f>
        <v>172</v>
      </c>
      <c r="Y136" s="63">
        <f>'Raw Input'!Y102</f>
        <v>0</v>
      </c>
      <c r="Z136" s="63">
        <f>'Raw Input'!Z102</f>
        <v>0</v>
      </c>
      <c r="AA136" s="63">
        <f>'Raw Input'!AA102</f>
        <v>0</v>
      </c>
      <c r="AB136" s="63">
        <f>'Raw Input'!AB102</f>
        <v>0</v>
      </c>
      <c r="AC136" s="63">
        <f>'Raw Input'!AC102</f>
        <v>-15.3</v>
      </c>
      <c r="AD136" s="63"/>
      <c r="AE136" s="63"/>
      <c r="AF136" s="63"/>
      <c r="AG136" s="63"/>
      <c r="AH136" s="63"/>
      <c r="AI136" s="63"/>
      <c r="AJ136" s="63"/>
    </row>
    <row r="137" spans="2:36" s="12" customFormat="1" x14ac:dyDescent="0.25">
      <c r="B137" s="1" t="s">
        <v>203</v>
      </c>
      <c r="I137" s="63">
        <f>'Raw Input'!I103</f>
        <v>25.8</v>
      </c>
      <c r="J137" s="63">
        <f>'Raw Input'!J103</f>
        <v>0</v>
      </c>
      <c r="K137" s="63">
        <f>'Raw Input'!K103</f>
        <v>0</v>
      </c>
      <c r="L137" s="63">
        <f>'Raw Input'!L103</f>
        <v>0</v>
      </c>
      <c r="M137" s="63">
        <f>'Raw Input'!M103</f>
        <v>0</v>
      </c>
      <c r="N137" s="63">
        <f>'Raw Input'!N103</f>
        <v>-18</v>
      </c>
      <c r="O137" s="63">
        <f>'Raw Input'!O103</f>
        <v>0</v>
      </c>
      <c r="P137" s="63">
        <f>'Raw Input'!P103</f>
        <v>0</v>
      </c>
      <c r="Q137" s="63">
        <f>'Raw Input'!Q103</f>
        <v>0</v>
      </c>
      <c r="R137" s="63">
        <f>'Raw Input'!R103</f>
        <v>0</v>
      </c>
      <c r="S137" s="63">
        <f>'Raw Input'!S103</f>
        <v>-14.5</v>
      </c>
      <c r="T137" s="63">
        <f>'Raw Input'!T103</f>
        <v>0</v>
      </c>
      <c r="U137" s="63">
        <f>'Raw Input'!U103</f>
        <v>0</v>
      </c>
      <c r="V137" s="63">
        <f>'Raw Input'!V103</f>
        <v>0</v>
      </c>
      <c r="W137" s="63">
        <f>'Raw Input'!W103</f>
        <v>0</v>
      </c>
      <c r="X137" s="63">
        <f>'Raw Input'!X103</f>
        <v>-7.1</v>
      </c>
      <c r="Y137" s="63">
        <f>'Raw Input'!Y103</f>
        <v>0</v>
      </c>
      <c r="Z137" s="63">
        <f>'Raw Input'!Z103</f>
        <v>0</v>
      </c>
      <c r="AA137" s="63">
        <f>'Raw Input'!AA103</f>
        <v>0</v>
      </c>
      <c r="AB137" s="63">
        <f>'Raw Input'!AB103</f>
        <v>0</v>
      </c>
      <c r="AC137" s="63">
        <f>'Raw Input'!AC103</f>
        <v>-3.3</v>
      </c>
      <c r="AD137" s="63"/>
      <c r="AE137" s="63"/>
      <c r="AF137" s="63"/>
      <c r="AG137" s="63"/>
      <c r="AH137" s="63"/>
      <c r="AI137" s="63"/>
      <c r="AJ137" s="63"/>
    </row>
    <row r="138" spans="2:36" x14ac:dyDescent="0.25">
      <c r="B138" s="2" t="s">
        <v>222</v>
      </c>
      <c r="I138" s="63">
        <f>'Raw Input'!I104</f>
        <v>-1349.6</v>
      </c>
      <c r="J138" s="63">
        <f>'Raw Input'!J104</f>
        <v>0</v>
      </c>
      <c r="K138" s="63">
        <f>'Raw Input'!K104</f>
        <v>0</v>
      </c>
      <c r="L138" s="63">
        <f>'Raw Input'!L104</f>
        <v>0</v>
      </c>
      <c r="M138" s="63">
        <f>'Raw Input'!M104</f>
        <v>0</v>
      </c>
      <c r="N138" s="63">
        <f>'Raw Input'!N104</f>
        <v>-341.8</v>
      </c>
      <c r="O138" s="63">
        <f>'Raw Input'!O104</f>
        <v>0</v>
      </c>
      <c r="P138" s="63">
        <f>'Raw Input'!P104</f>
        <v>0</v>
      </c>
      <c r="Q138" s="63">
        <f>'Raw Input'!Q104</f>
        <v>0</v>
      </c>
      <c r="R138" s="63">
        <f>'Raw Input'!R104</f>
        <v>0</v>
      </c>
      <c r="S138" s="63">
        <f>'Raw Input'!S104</f>
        <v>1603.2</v>
      </c>
      <c r="T138" s="63">
        <f>'Raw Input'!T104</f>
        <v>0</v>
      </c>
      <c r="U138" s="63">
        <f>'Raw Input'!U104</f>
        <v>0</v>
      </c>
      <c r="V138" s="63">
        <f>'Raw Input'!V104</f>
        <v>0</v>
      </c>
      <c r="W138" s="63">
        <f>'Raw Input'!W104</f>
        <v>0</v>
      </c>
      <c r="X138" s="63">
        <f>'Raw Input'!X104</f>
        <v>-837.3</v>
      </c>
      <c r="Y138" s="63">
        <f>'Raw Input'!Y104</f>
        <v>0</v>
      </c>
      <c r="Z138" s="63">
        <f>'Raw Input'!Z104</f>
        <v>0</v>
      </c>
      <c r="AA138" s="63">
        <f>'Raw Input'!AA104</f>
        <v>0</v>
      </c>
      <c r="AB138" s="63">
        <f>'Raw Input'!AB104</f>
        <v>0</v>
      </c>
      <c r="AC138" s="63">
        <f>'Raw Input'!AC104</f>
        <v>-1054.7</v>
      </c>
      <c r="AD138" s="63"/>
      <c r="AE138" s="63"/>
      <c r="AF138" s="63"/>
      <c r="AG138" s="63"/>
      <c r="AH138" s="63"/>
      <c r="AI138" s="63"/>
      <c r="AJ138" s="63"/>
    </row>
    <row r="139" spans="2:36" x14ac:dyDescent="0.25">
      <c r="B139"/>
      <c r="I139" s="63">
        <f>'Raw Input'!I105</f>
        <v>0</v>
      </c>
      <c r="J139" s="63">
        <f>'Raw Input'!J105</f>
        <v>0</v>
      </c>
      <c r="K139" s="63">
        <f>'Raw Input'!K105</f>
        <v>0</v>
      </c>
      <c r="L139" s="63">
        <f>'Raw Input'!L105</f>
        <v>0</v>
      </c>
      <c r="M139" s="63">
        <f>'Raw Input'!M105</f>
        <v>0</v>
      </c>
      <c r="N139" s="63">
        <f>'Raw Input'!N105</f>
        <v>0</v>
      </c>
      <c r="O139" s="63">
        <f>'Raw Input'!O105</f>
        <v>0</v>
      </c>
      <c r="P139" s="63">
        <f>'Raw Input'!P105</f>
        <v>0</v>
      </c>
      <c r="Q139" s="63">
        <f>'Raw Input'!Q105</f>
        <v>0</v>
      </c>
      <c r="R139" s="63">
        <f>'Raw Input'!R105</f>
        <v>0</v>
      </c>
      <c r="S139" s="63">
        <f>'Raw Input'!S105</f>
        <v>0</v>
      </c>
      <c r="T139" s="63">
        <f>'Raw Input'!T105</f>
        <v>0</v>
      </c>
      <c r="U139" s="63">
        <f>'Raw Input'!U105</f>
        <v>0</v>
      </c>
      <c r="V139" s="63">
        <f>'Raw Input'!V105</f>
        <v>0</v>
      </c>
      <c r="W139" s="63">
        <f>'Raw Input'!W105</f>
        <v>0</v>
      </c>
      <c r="X139" s="63">
        <f>'Raw Input'!X105</f>
        <v>0</v>
      </c>
      <c r="Y139" s="63">
        <f>'Raw Input'!Y105</f>
        <v>0</v>
      </c>
      <c r="Z139" s="63">
        <f>'Raw Input'!Z105</f>
        <v>0</v>
      </c>
      <c r="AA139" s="63">
        <f>'Raw Input'!AA105</f>
        <v>0</v>
      </c>
      <c r="AB139" s="63">
        <f>'Raw Input'!AB105</f>
        <v>0</v>
      </c>
      <c r="AC139" s="63">
        <f>'Raw Input'!AC105</f>
        <v>0</v>
      </c>
      <c r="AD139" s="63"/>
      <c r="AE139" s="63"/>
      <c r="AF139" s="63"/>
      <c r="AG139" s="63"/>
      <c r="AH139" s="63"/>
      <c r="AI139" s="63"/>
      <c r="AJ139" s="63"/>
    </row>
    <row r="140" spans="2:36" x14ac:dyDescent="0.25">
      <c r="B140" s="2" t="s">
        <v>223</v>
      </c>
      <c r="I140" s="63">
        <f>'Raw Input'!I106</f>
        <v>20.399999999999999</v>
      </c>
      <c r="J140" s="63">
        <f>'Raw Input'!J106</f>
        <v>0</v>
      </c>
      <c r="K140" s="63">
        <f>'Raw Input'!K106</f>
        <v>0</v>
      </c>
      <c r="L140" s="63">
        <f>'Raw Input'!L106</f>
        <v>0</v>
      </c>
      <c r="M140" s="63">
        <f>'Raw Input'!M106</f>
        <v>0</v>
      </c>
      <c r="N140" s="63">
        <f>'Raw Input'!N106</f>
        <v>-30.1</v>
      </c>
      <c r="O140" s="63">
        <f>'Raw Input'!O106</f>
        <v>0</v>
      </c>
      <c r="P140" s="63">
        <f>'Raw Input'!P106</f>
        <v>0</v>
      </c>
      <c r="Q140" s="63">
        <f>'Raw Input'!Q106</f>
        <v>0</v>
      </c>
      <c r="R140" s="63">
        <f>'Raw Input'!R106</f>
        <v>0</v>
      </c>
      <c r="S140" s="63">
        <f>'Raw Input'!S106</f>
        <v>14.3</v>
      </c>
      <c r="T140" s="63">
        <f>'Raw Input'!T106</f>
        <v>0</v>
      </c>
      <c r="U140" s="63">
        <f>'Raw Input'!U106</f>
        <v>0</v>
      </c>
      <c r="V140" s="63">
        <f>'Raw Input'!V106</f>
        <v>0</v>
      </c>
      <c r="W140" s="63">
        <f>'Raw Input'!W106</f>
        <v>0</v>
      </c>
      <c r="X140" s="63">
        <f>'Raw Input'!X106</f>
        <v>4.4000000000000004</v>
      </c>
      <c r="Y140" s="63">
        <f>'Raw Input'!Y106</f>
        <v>0</v>
      </c>
      <c r="Z140" s="63">
        <f>'Raw Input'!Z106</f>
        <v>0</v>
      </c>
      <c r="AA140" s="63">
        <f>'Raw Input'!AA106</f>
        <v>0</v>
      </c>
      <c r="AB140" s="63">
        <f>'Raw Input'!AB106</f>
        <v>0</v>
      </c>
      <c r="AC140" s="63">
        <f>'Raw Input'!AC106</f>
        <v>-45.7</v>
      </c>
      <c r="AD140" s="63"/>
      <c r="AE140" s="63"/>
      <c r="AF140" s="63"/>
      <c r="AG140" s="63"/>
      <c r="AH140" s="63"/>
      <c r="AI140" s="63"/>
      <c r="AJ140" s="63"/>
    </row>
    <row r="141" spans="2:36" x14ac:dyDescent="0.25">
      <c r="B141"/>
      <c r="I141" s="63">
        <f>'Raw Input'!I107</f>
        <v>0</v>
      </c>
      <c r="J141" s="63">
        <f>'Raw Input'!J107</f>
        <v>0</v>
      </c>
      <c r="K141" s="63">
        <f>'Raw Input'!K107</f>
        <v>0</v>
      </c>
      <c r="L141" s="63">
        <f>'Raw Input'!L107</f>
        <v>0</v>
      </c>
      <c r="M141" s="63">
        <f>'Raw Input'!M107</f>
        <v>0</v>
      </c>
      <c r="N141" s="63">
        <f>'Raw Input'!N107</f>
        <v>0</v>
      </c>
      <c r="O141" s="63">
        <f>'Raw Input'!O107</f>
        <v>0</v>
      </c>
      <c r="P141" s="63">
        <f>'Raw Input'!P107</f>
        <v>0</v>
      </c>
      <c r="Q141" s="63">
        <f>'Raw Input'!Q107</f>
        <v>0</v>
      </c>
      <c r="R141" s="63">
        <f>'Raw Input'!R107</f>
        <v>0</v>
      </c>
      <c r="S141" s="63">
        <f>'Raw Input'!S107</f>
        <v>0</v>
      </c>
      <c r="T141" s="63">
        <f>'Raw Input'!T107</f>
        <v>0</v>
      </c>
      <c r="U141" s="63">
        <f>'Raw Input'!U107</f>
        <v>0</v>
      </c>
      <c r="V141" s="63">
        <f>'Raw Input'!V107</f>
        <v>0</v>
      </c>
      <c r="W141" s="63">
        <f>'Raw Input'!W107</f>
        <v>0</v>
      </c>
      <c r="X141" s="63">
        <f>'Raw Input'!X107</f>
        <v>0</v>
      </c>
      <c r="Y141" s="63">
        <f>'Raw Input'!Y107</f>
        <v>0</v>
      </c>
      <c r="Z141" s="63">
        <f>'Raw Input'!Z107</f>
        <v>0</v>
      </c>
      <c r="AA141" s="63">
        <f>'Raw Input'!AA107</f>
        <v>0</v>
      </c>
      <c r="AB141" s="63">
        <f>'Raw Input'!AB107</f>
        <v>0</v>
      </c>
      <c r="AC141" s="63">
        <f>'Raw Input'!AC107</f>
        <v>0</v>
      </c>
      <c r="AD141" s="63"/>
      <c r="AE141" s="63"/>
      <c r="AF141" s="63"/>
      <c r="AG141" s="63"/>
      <c r="AH141" s="63"/>
      <c r="AI141" s="63"/>
      <c r="AJ141" s="63"/>
    </row>
    <row r="142" spans="2:36" x14ac:dyDescent="0.25">
      <c r="B142" s="2" t="s">
        <v>224</v>
      </c>
      <c r="I142" s="63">
        <f>'Raw Input'!I108</f>
        <v>-107.6</v>
      </c>
      <c r="J142" s="63">
        <f>'Raw Input'!J108</f>
        <v>0</v>
      </c>
      <c r="K142" s="63">
        <f>'Raw Input'!K108</f>
        <v>0</v>
      </c>
      <c r="L142" s="63">
        <f>'Raw Input'!L108</f>
        <v>0</v>
      </c>
      <c r="M142" s="63">
        <f>'Raw Input'!M108</f>
        <v>0</v>
      </c>
      <c r="N142" s="63">
        <f>'Raw Input'!N108</f>
        <v>1073.8</v>
      </c>
      <c r="O142" s="63">
        <f>'Raw Input'!O108</f>
        <v>0</v>
      </c>
      <c r="P142" s="63">
        <f>'Raw Input'!P108</f>
        <v>0</v>
      </c>
      <c r="Q142" s="63">
        <f>'Raw Input'!Q108</f>
        <v>0</v>
      </c>
      <c r="R142" s="63">
        <f>'Raw Input'!R108</f>
        <v>0</v>
      </c>
      <c r="S142" s="63">
        <f>'Raw Input'!S108</f>
        <v>-900.3</v>
      </c>
      <c r="T142" s="63">
        <f>'Raw Input'!T108</f>
        <v>0</v>
      </c>
      <c r="U142" s="63">
        <f>'Raw Input'!U108</f>
        <v>0</v>
      </c>
      <c r="V142" s="63">
        <f>'Raw Input'!V108</f>
        <v>0</v>
      </c>
      <c r="W142" s="63">
        <f>'Raw Input'!W108</f>
        <v>0</v>
      </c>
      <c r="X142" s="63">
        <f>'Raw Input'!X108</f>
        <v>238.7</v>
      </c>
      <c r="Y142" s="63">
        <f>'Raw Input'!Y108</f>
        <v>0</v>
      </c>
      <c r="Z142" s="63">
        <f>'Raw Input'!Z108</f>
        <v>0</v>
      </c>
      <c r="AA142" s="63">
        <f>'Raw Input'!AA108</f>
        <v>0</v>
      </c>
      <c r="AB142" s="63">
        <f>'Raw Input'!AB108</f>
        <v>0</v>
      </c>
      <c r="AC142" s="63">
        <f>'Raw Input'!AC108</f>
        <v>320.89999999999998</v>
      </c>
      <c r="AD142" s="63"/>
      <c r="AE142" s="63"/>
      <c r="AF142" s="63"/>
      <c r="AG142" s="63"/>
      <c r="AH142" s="63"/>
      <c r="AI142" s="63"/>
      <c r="AJ142" s="63"/>
    </row>
    <row r="143" spans="2:36" x14ac:dyDescent="0.25">
      <c r="B143" s="2" t="s">
        <v>225</v>
      </c>
      <c r="I143" s="63">
        <f>'Raw Input'!I109</f>
        <v>243.2</v>
      </c>
      <c r="J143" s="63">
        <f>'Raw Input'!J109</f>
        <v>0</v>
      </c>
      <c r="K143" s="63">
        <f>'Raw Input'!K109</f>
        <v>0</v>
      </c>
      <c r="L143" s="63">
        <f>'Raw Input'!L109</f>
        <v>0</v>
      </c>
      <c r="M143" s="63">
        <f>'Raw Input'!M109</f>
        <v>0</v>
      </c>
      <c r="N143" s="63">
        <f>'Raw Input'!N109</f>
        <v>118.8</v>
      </c>
      <c r="O143" s="63">
        <f>'Raw Input'!O109</f>
        <v>0</v>
      </c>
      <c r="P143" s="63">
        <f>'Raw Input'!P109</f>
        <v>0</v>
      </c>
      <c r="Q143" s="63">
        <f>'Raw Input'!Q109</f>
        <v>0</v>
      </c>
      <c r="R143" s="63">
        <f>'Raw Input'!R109</f>
        <v>0</v>
      </c>
      <c r="S143" s="63">
        <f>'Raw Input'!S109</f>
        <v>1260.2</v>
      </c>
      <c r="T143" s="63">
        <f>'Raw Input'!T109</f>
        <v>0</v>
      </c>
      <c r="U143" s="63">
        <f>'Raw Input'!U109</f>
        <v>0</v>
      </c>
      <c r="V143" s="63">
        <f>'Raw Input'!V109</f>
        <v>0</v>
      </c>
      <c r="W143" s="63">
        <f>'Raw Input'!W109</f>
        <v>0</v>
      </c>
      <c r="X143" s="63">
        <f>'Raw Input'!X109</f>
        <v>359.9</v>
      </c>
      <c r="Y143" s="63">
        <f>'Raw Input'!Y109</f>
        <v>0</v>
      </c>
      <c r="Z143" s="63">
        <f>'Raw Input'!Z109</f>
        <v>0</v>
      </c>
      <c r="AA143" s="63">
        <f>'Raw Input'!AA109</f>
        <v>0</v>
      </c>
      <c r="AB143" s="63">
        <f>'Raw Input'!AB109</f>
        <v>0</v>
      </c>
      <c r="AC143" s="63">
        <f>'Raw Input'!AC109</f>
        <v>598.6</v>
      </c>
      <c r="AD143" s="63"/>
      <c r="AE143" s="63"/>
      <c r="AF143" s="63"/>
      <c r="AG143" s="63"/>
      <c r="AH143" s="63"/>
      <c r="AI143" s="63"/>
      <c r="AJ143" s="63"/>
    </row>
    <row r="144" spans="2:36" x14ac:dyDescent="0.25">
      <c r="B144" s="2" t="s">
        <v>226</v>
      </c>
      <c r="C144" s="253"/>
      <c r="D144" s="90"/>
      <c r="E144" s="90"/>
      <c r="F144" s="90"/>
      <c r="G144" s="90"/>
      <c r="H144" s="90"/>
      <c r="I144" s="63">
        <f>'Raw Input'!I110</f>
        <v>186.4</v>
      </c>
      <c r="J144" s="63">
        <f>'Raw Input'!J110</f>
        <v>0</v>
      </c>
      <c r="K144" s="63">
        <f>'Raw Input'!K110</f>
        <v>0</v>
      </c>
      <c r="L144" s="63">
        <f>'Raw Input'!L110</f>
        <v>0</v>
      </c>
      <c r="M144" s="63">
        <f>'Raw Input'!M110</f>
        <v>0</v>
      </c>
      <c r="N144" s="63">
        <f>'Raw Input'!N110</f>
        <v>1260.2</v>
      </c>
      <c r="O144" s="63">
        <f>'Raw Input'!O110</f>
        <v>0</v>
      </c>
      <c r="P144" s="63">
        <f>'Raw Input'!P110</f>
        <v>0</v>
      </c>
      <c r="Q144" s="63">
        <f>'Raw Input'!Q110</f>
        <v>0</v>
      </c>
      <c r="R144" s="63">
        <f>'Raw Input'!R110</f>
        <v>0</v>
      </c>
      <c r="S144" s="63">
        <f>'Raw Input'!S110</f>
        <v>359.9</v>
      </c>
      <c r="T144" s="63">
        <f>'Raw Input'!T110</f>
        <v>0</v>
      </c>
      <c r="U144" s="63">
        <f>'Raw Input'!U110</f>
        <v>0</v>
      </c>
      <c r="V144" s="63">
        <f>'Raw Input'!V110</f>
        <v>0</v>
      </c>
      <c r="W144" s="63">
        <f>'Raw Input'!W110</f>
        <v>0</v>
      </c>
      <c r="X144" s="63">
        <f>'Raw Input'!X110</f>
        <v>598.6</v>
      </c>
      <c r="Y144" s="63">
        <f>'Raw Input'!Y110</f>
        <v>0</v>
      </c>
      <c r="Z144" s="63">
        <f>'Raw Input'!Z110</f>
        <v>0</v>
      </c>
      <c r="AA144" s="63">
        <f>'Raw Input'!AA110</f>
        <v>0</v>
      </c>
      <c r="AB144" s="63">
        <f>'Raw Input'!AB110</f>
        <v>0</v>
      </c>
      <c r="AC144" s="63">
        <f>'Raw Input'!AC110</f>
        <v>919.5</v>
      </c>
      <c r="AD144" s="91"/>
      <c r="AE144" s="91"/>
      <c r="AF144" s="91"/>
      <c r="AG144" s="91"/>
      <c r="AH144" s="63"/>
      <c r="AI144" s="63"/>
      <c r="AJ144" s="63"/>
    </row>
    <row r="145" spans="2:36" x14ac:dyDescent="0.25">
      <c r="B145"/>
      <c r="C145" s="253"/>
      <c r="I145" s="63">
        <f>'Raw Input'!I111</f>
        <v>0</v>
      </c>
      <c r="J145" s="63">
        <f>'Raw Input'!J111</f>
        <v>0</v>
      </c>
      <c r="K145" s="63">
        <f>'Raw Input'!K111</f>
        <v>0</v>
      </c>
      <c r="L145" s="63">
        <f>'Raw Input'!L111</f>
        <v>0</v>
      </c>
      <c r="M145" s="63">
        <f>'Raw Input'!M111</f>
        <v>0</v>
      </c>
      <c r="N145" s="63">
        <f>'Raw Input'!N111</f>
        <v>0</v>
      </c>
      <c r="O145" s="63">
        <f>'Raw Input'!O111</f>
        <v>0</v>
      </c>
      <c r="P145" s="63">
        <f>'Raw Input'!P111</f>
        <v>0</v>
      </c>
      <c r="Q145" s="63">
        <f>'Raw Input'!Q111</f>
        <v>0</v>
      </c>
      <c r="R145" s="63">
        <f>'Raw Input'!R111</f>
        <v>0</v>
      </c>
      <c r="S145" s="63">
        <f>'Raw Input'!S111</f>
        <v>0</v>
      </c>
      <c r="T145" s="63">
        <f>'Raw Input'!T111</f>
        <v>0</v>
      </c>
      <c r="U145" s="63">
        <f>'Raw Input'!U111</f>
        <v>0</v>
      </c>
      <c r="V145" s="63">
        <f>'Raw Input'!V111</f>
        <v>0</v>
      </c>
      <c r="W145" s="63">
        <f>'Raw Input'!W111</f>
        <v>0</v>
      </c>
      <c r="X145" s="63">
        <f>'Raw Input'!X111</f>
        <v>0</v>
      </c>
      <c r="Y145" s="63">
        <f>'Raw Input'!Y111</f>
        <v>0</v>
      </c>
      <c r="Z145" s="63">
        <f>'Raw Input'!Z111</f>
        <v>0</v>
      </c>
      <c r="AA145" s="63">
        <f>'Raw Input'!AA111</f>
        <v>0</v>
      </c>
      <c r="AB145" s="63">
        <f>'Raw Input'!AB111</f>
        <v>0</v>
      </c>
      <c r="AC145" s="63">
        <f>'Raw Input'!AC111</f>
        <v>0</v>
      </c>
      <c r="AD145" s="63"/>
      <c r="AE145" s="63"/>
      <c r="AF145" s="63"/>
      <c r="AG145" s="63"/>
      <c r="AH145" s="63"/>
      <c r="AI145" s="63"/>
      <c r="AJ145" s="63"/>
    </row>
    <row r="146" spans="2:36" x14ac:dyDescent="0.25">
      <c r="B146" s="4" t="s">
        <v>227</v>
      </c>
      <c r="C146" s="253"/>
      <c r="I146" s="63">
        <f>'Raw Input'!I112</f>
        <v>0</v>
      </c>
      <c r="J146" s="63">
        <f>'Raw Input'!J112</f>
        <v>0</v>
      </c>
      <c r="K146" s="63">
        <f>'Raw Input'!K112</f>
        <v>0</v>
      </c>
      <c r="L146" s="63">
        <f>'Raw Input'!L112</f>
        <v>0</v>
      </c>
      <c r="M146" s="63">
        <f>'Raw Input'!M112</f>
        <v>0</v>
      </c>
      <c r="N146" s="63">
        <f>'Raw Input'!N112</f>
        <v>0</v>
      </c>
      <c r="O146" s="63">
        <f>'Raw Input'!O112</f>
        <v>0</v>
      </c>
      <c r="P146" s="63">
        <f>'Raw Input'!P112</f>
        <v>0</v>
      </c>
      <c r="Q146" s="63">
        <f>'Raw Input'!Q112</f>
        <v>0</v>
      </c>
      <c r="R146" s="63">
        <f>'Raw Input'!R112</f>
        <v>0</v>
      </c>
      <c r="S146" s="63">
        <f>'Raw Input'!S112</f>
        <v>0</v>
      </c>
      <c r="T146" s="63">
        <f>'Raw Input'!T112</f>
        <v>0</v>
      </c>
      <c r="U146" s="63">
        <f>'Raw Input'!U112</f>
        <v>0</v>
      </c>
      <c r="V146" s="63">
        <f>'Raw Input'!V112</f>
        <v>0</v>
      </c>
      <c r="W146" s="63">
        <f>'Raw Input'!W112</f>
        <v>0</v>
      </c>
      <c r="X146" s="63">
        <f>'Raw Input'!X112</f>
        <v>0</v>
      </c>
      <c r="Y146" s="63">
        <f>'Raw Input'!Y112</f>
        <v>0</v>
      </c>
      <c r="Z146" s="63">
        <f>'Raw Input'!Z112</f>
        <v>0</v>
      </c>
      <c r="AA146" s="63">
        <f>'Raw Input'!AA112</f>
        <v>0</v>
      </c>
      <c r="AB146" s="63">
        <f>'Raw Input'!AB112</f>
        <v>0</v>
      </c>
      <c r="AC146" s="63">
        <f>'Raw Input'!AC112</f>
        <v>0</v>
      </c>
      <c r="AD146" s="63"/>
      <c r="AE146" s="63"/>
      <c r="AF146" s="63"/>
      <c r="AG146" s="63"/>
      <c r="AH146" s="63"/>
      <c r="AI146" s="63"/>
      <c r="AJ146" s="63"/>
    </row>
    <row r="147" spans="2:36" x14ac:dyDescent="0.25">
      <c r="B147" s="1" t="s">
        <v>228</v>
      </c>
      <c r="C147" s="253"/>
      <c r="D147" s="90"/>
      <c r="E147" s="90"/>
      <c r="F147" s="90"/>
      <c r="G147" s="90"/>
      <c r="H147" s="90"/>
      <c r="I147" s="63">
        <f>'Raw Input'!I113</f>
        <v>337.4</v>
      </c>
      <c r="J147" s="63">
        <f>'Raw Input'!J113</f>
        <v>0</v>
      </c>
      <c r="K147" s="63">
        <f>'Raw Input'!K113</f>
        <v>0</v>
      </c>
      <c r="L147" s="63">
        <f>'Raw Input'!L113</f>
        <v>0</v>
      </c>
      <c r="M147" s="63">
        <f>'Raw Input'!M113</f>
        <v>0</v>
      </c>
      <c r="N147" s="63">
        <f>'Raw Input'!N113</f>
        <v>366.9</v>
      </c>
      <c r="O147" s="63">
        <f>'Raw Input'!O113</f>
        <v>0</v>
      </c>
      <c r="P147" s="63">
        <f>'Raw Input'!P113</f>
        <v>0</v>
      </c>
      <c r="Q147" s="63">
        <f>'Raw Input'!Q113</f>
        <v>0</v>
      </c>
      <c r="R147" s="63">
        <f>'Raw Input'!R113</f>
        <v>0</v>
      </c>
      <c r="S147" s="63">
        <f>'Raw Input'!S113</f>
        <v>275.7</v>
      </c>
      <c r="T147" s="63">
        <f>'Raw Input'!T113</f>
        <v>0</v>
      </c>
      <c r="U147" s="63">
        <f>'Raw Input'!U113</f>
        <v>0</v>
      </c>
      <c r="V147" s="63">
        <f>'Raw Input'!V113</f>
        <v>0</v>
      </c>
      <c r="W147" s="63">
        <f>'Raw Input'!W113</f>
        <v>0</v>
      </c>
      <c r="X147" s="63">
        <f>'Raw Input'!X113</f>
        <v>308.89999999999998</v>
      </c>
      <c r="Y147" s="63">
        <f>'Raw Input'!Y113</f>
        <v>0</v>
      </c>
      <c r="Z147" s="63">
        <f>'Raw Input'!Z113</f>
        <v>0</v>
      </c>
      <c r="AA147" s="63">
        <f>'Raw Input'!AA113</f>
        <v>0</v>
      </c>
      <c r="AB147" s="63">
        <f>'Raw Input'!AB113</f>
        <v>0</v>
      </c>
      <c r="AC147" s="63">
        <f>'Raw Input'!AC113</f>
        <v>469.2</v>
      </c>
      <c r="AD147" s="91">
        <f t="shared" ref="AD147:AG147" si="307">AD120</f>
        <v>0</v>
      </c>
      <c r="AE147" s="91">
        <f t="shared" si="307"/>
        <v>0</v>
      </c>
      <c r="AF147" s="91">
        <f t="shared" si="307"/>
        <v>0</v>
      </c>
      <c r="AG147" s="91">
        <f t="shared" si="307"/>
        <v>0</v>
      </c>
      <c r="AH147" s="63"/>
      <c r="AI147" s="63"/>
      <c r="AJ147" s="63"/>
    </row>
    <row r="148" spans="2:36" x14ac:dyDescent="0.25">
      <c r="B148" s="1" t="s">
        <v>229</v>
      </c>
      <c r="I148" s="63">
        <f>'Raw Input'!I114</f>
        <v>189.4</v>
      </c>
      <c r="J148" s="63">
        <f>'Raw Input'!J114</f>
        <v>0</v>
      </c>
      <c r="K148" s="63">
        <f>'Raw Input'!K114</f>
        <v>0</v>
      </c>
      <c r="L148" s="63">
        <f>'Raw Input'!L114</f>
        <v>0</v>
      </c>
      <c r="M148" s="63">
        <f>'Raw Input'!M114</f>
        <v>0</v>
      </c>
      <c r="N148" s="63">
        <f>'Raw Input'!N114</f>
        <v>262.5</v>
      </c>
      <c r="O148" s="63">
        <f>'Raw Input'!O114</f>
        <v>0</v>
      </c>
      <c r="P148" s="63">
        <f>'Raw Input'!P114</f>
        <v>0</v>
      </c>
      <c r="Q148" s="63">
        <f>'Raw Input'!Q114</f>
        <v>0</v>
      </c>
      <c r="R148" s="63">
        <f>'Raw Input'!R114</f>
        <v>0</v>
      </c>
      <c r="S148" s="63">
        <f>'Raw Input'!S114</f>
        <v>208.7</v>
      </c>
      <c r="T148" s="63">
        <f>'Raw Input'!T114</f>
        <v>0</v>
      </c>
      <c r="U148" s="63">
        <f>'Raw Input'!U114</f>
        <v>0</v>
      </c>
      <c r="V148" s="63">
        <f>'Raw Input'!V114</f>
        <v>0</v>
      </c>
      <c r="W148" s="63">
        <f>'Raw Input'!W114</f>
        <v>0</v>
      </c>
      <c r="X148" s="63">
        <f>'Raw Input'!X114</f>
        <v>222.4</v>
      </c>
      <c r="Y148" s="63">
        <f>'Raw Input'!Y114</f>
        <v>0</v>
      </c>
      <c r="Z148" s="63">
        <f>'Raw Input'!Z114</f>
        <v>0</v>
      </c>
      <c r="AA148" s="63">
        <f>'Raw Input'!AA114</f>
        <v>0</v>
      </c>
      <c r="AB148" s="63">
        <f>'Raw Input'!AB114</f>
        <v>0</v>
      </c>
      <c r="AC148" s="63">
        <f>'Raw Input'!AC114</f>
        <v>324.8</v>
      </c>
      <c r="AD148" s="256">
        <f>AD147/AD10</f>
        <v>0</v>
      </c>
      <c r="AE148" s="256">
        <f>AE147/AE10</f>
        <v>0</v>
      </c>
      <c r="AF148" s="256">
        <f>AF147/AF10</f>
        <v>0</v>
      </c>
      <c r="AG148" s="256">
        <f>AG147/AG10</f>
        <v>0</v>
      </c>
      <c r="AH148" s="256"/>
      <c r="AI148" s="255"/>
      <c r="AJ148" s="255"/>
    </row>
    <row r="149" spans="2:36" x14ac:dyDescent="0.25"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</row>
    <row r="150" spans="2:36" x14ac:dyDescent="0.25">
      <c r="B150" s="273" t="s">
        <v>233</v>
      </c>
      <c r="C150" s="90"/>
      <c r="D150" s="90"/>
      <c r="E150" s="90"/>
      <c r="F150" s="90"/>
      <c r="G150" s="90"/>
      <c r="H150" s="90"/>
      <c r="I150" s="91">
        <f>I122</f>
        <v>-731.3</v>
      </c>
      <c r="J150" s="91">
        <f t="shared" ref="J150:AC150" si="308">J122</f>
        <v>0</v>
      </c>
      <c r="K150" s="91">
        <f t="shared" si="308"/>
        <v>0</v>
      </c>
      <c r="L150" s="91">
        <f t="shared" si="308"/>
        <v>0</v>
      </c>
      <c r="M150" s="91">
        <f t="shared" si="308"/>
        <v>0</v>
      </c>
      <c r="N150" s="91">
        <f t="shared" si="308"/>
        <v>-489</v>
      </c>
      <c r="O150" s="91">
        <f t="shared" si="308"/>
        <v>0</v>
      </c>
      <c r="P150" s="91">
        <f t="shared" si="308"/>
        <v>0</v>
      </c>
      <c r="Q150" s="91">
        <f t="shared" si="308"/>
        <v>0</v>
      </c>
      <c r="R150" s="91">
        <f t="shared" si="308"/>
        <v>0</v>
      </c>
      <c r="S150" s="91">
        <f t="shared" si="308"/>
        <v>-643</v>
      </c>
      <c r="T150" s="91">
        <f t="shared" si="308"/>
        <v>0</v>
      </c>
      <c r="U150" s="91">
        <f t="shared" si="308"/>
        <v>0</v>
      </c>
      <c r="V150" s="91">
        <f t="shared" si="308"/>
        <v>0</v>
      </c>
      <c r="W150" s="91">
        <f t="shared" si="308"/>
        <v>0</v>
      </c>
      <c r="X150" s="91">
        <f t="shared" si="308"/>
        <v>-712.8</v>
      </c>
      <c r="Y150" s="91">
        <f t="shared" si="308"/>
        <v>0</v>
      </c>
      <c r="Z150" s="91">
        <f t="shared" si="308"/>
        <v>0</v>
      </c>
      <c r="AA150" s="91">
        <f t="shared" si="308"/>
        <v>0</v>
      </c>
      <c r="AB150" s="91">
        <f t="shared" si="308"/>
        <v>0</v>
      </c>
      <c r="AC150" s="91">
        <f t="shared" si="308"/>
        <v>-774.8</v>
      </c>
      <c r="AD150" s="91"/>
      <c r="AE150" s="91"/>
      <c r="AF150" s="91"/>
      <c r="AG150" s="91"/>
      <c r="AH150" s="91">
        <v>-834</v>
      </c>
      <c r="AI150" s="91">
        <v>-871</v>
      </c>
      <c r="AJ150" s="91">
        <v>-908</v>
      </c>
    </row>
    <row r="151" spans="2:36" x14ac:dyDescent="0.25"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</row>
    <row r="152" spans="2:36" x14ac:dyDescent="0.25">
      <c r="B152" s="273" t="s">
        <v>234</v>
      </c>
      <c r="C152" s="90"/>
      <c r="D152" s="90"/>
      <c r="E152" s="90"/>
      <c r="F152" s="90"/>
      <c r="G152" s="90"/>
      <c r="H152" s="90"/>
      <c r="I152" s="257"/>
      <c r="J152" s="257"/>
      <c r="K152" s="257"/>
      <c r="L152" s="257"/>
      <c r="M152" s="257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</row>
    <row r="153" spans="2:36" x14ac:dyDescent="0.25"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</row>
    <row r="154" spans="2:36" x14ac:dyDescent="0.25"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</row>
    <row r="155" spans="2:36" x14ac:dyDescent="0.25"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</row>
    <row r="156" spans="2:36" x14ac:dyDescent="0.25"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</row>
    <row r="157" spans="2:36" x14ac:dyDescent="0.25"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</row>
    <row r="158" spans="2:36" x14ac:dyDescent="0.25"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418-D817-43FB-A2F9-26DBD2C745B1}">
  <sheetPr>
    <tabColor rgb="FFFF0000"/>
  </sheetPr>
  <dimension ref="B2:S39"/>
  <sheetViews>
    <sheetView zoomScale="90" zoomScaleNormal="90" zoomScaleSheetLayoutView="40" workbookViewId="0">
      <selection activeCell="R26" sqref="R26"/>
    </sheetView>
  </sheetViews>
  <sheetFormatPr defaultColWidth="11.42578125" defaultRowHeight="15" x14ac:dyDescent="0.25"/>
  <cols>
    <col min="1" max="1" width="11.42578125" style="17"/>
    <col min="2" max="2" width="20" style="17" bestFit="1" customWidth="1"/>
    <col min="3" max="3" width="10.85546875" style="17" bestFit="1" customWidth="1"/>
    <col min="4" max="4" width="24.140625" style="17" bestFit="1" customWidth="1"/>
    <col min="5" max="5" width="0" style="17" hidden="1" customWidth="1"/>
    <col min="6" max="6" width="16.42578125" style="17" bestFit="1" customWidth="1"/>
    <col min="7" max="7" width="10.28515625" style="17" bestFit="1" customWidth="1"/>
    <col min="8" max="8" width="10.7109375" style="17" bestFit="1" customWidth="1"/>
    <col min="9" max="9" width="9.7109375" style="17" bestFit="1" customWidth="1"/>
    <col min="10" max="12" width="9.42578125" style="17" bestFit="1" customWidth="1"/>
    <col min="13" max="13" width="9.28515625" style="17" bestFit="1" customWidth="1"/>
    <col min="14" max="15" width="11.42578125" style="17"/>
    <col min="16" max="16" width="11.42578125" style="17" customWidth="1"/>
    <col min="17" max="17" width="11" style="17" bestFit="1" customWidth="1"/>
    <col min="18" max="18" width="12.7109375" style="17" bestFit="1" customWidth="1"/>
    <col min="19" max="19" width="11" style="17" bestFit="1" customWidth="1"/>
    <col min="20" max="16384" width="11.42578125" style="17"/>
  </cols>
  <sheetData>
    <row r="2" spans="2:19" x14ac:dyDescent="0.25">
      <c r="B2" s="13" t="s">
        <v>72</v>
      </c>
      <c r="C2" s="95" t="s">
        <v>235</v>
      </c>
      <c r="F2" s="96"/>
      <c r="G2" s="274"/>
      <c r="H2" s="274"/>
      <c r="I2" s="274"/>
      <c r="J2" s="274"/>
      <c r="K2" s="274"/>
      <c r="L2" s="274"/>
      <c r="M2" s="93"/>
    </row>
    <row r="3" spans="2:19" x14ac:dyDescent="0.25">
      <c r="B3" s="13" t="s">
        <v>82</v>
      </c>
      <c r="C3" s="95" t="s">
        <v>236</v>
      </c>
      <c r="G3" s="97">
        <v>2021</v>
      </c>
      <c r="H3" s="97">
        <f>G3+1</f>
        <v>2022</v>
      </c>
      <c r="I3" s="97">
        <f>H3+1</f>
        <v>2023</v>
      </c>
      <c r="J3" s="98" t="s">
        <v>42</v>
      </c>
      <c r="K3" s="98" t="s">
        <v>43</v>
      </c>
      <c r="L3" s="98" t="s">
        <v>44</v>
      </c>
      <c r="M3" s="99"/>
    </row>
    <row r="4" spans="2:19" x14ac:dyDescent="0.25">
      <c r="B4" s="13" t="s">
        <v>87</v>
      </c>
      <c r="C4" s="103">
        <v>45520</v>
      </c>
      <c r="F4" s="12" t="s">
        <v>75</v>
      </c>
      <c r="G4" s="104">
        <f>MOD!S34</f>
        <v>12733.099999999999</v>
      </c>
      <c r="H4" s="104">
        <f>MOD!X34</f>
        <v>14187.8</v>
      </c>
      <c r="I4" s="104">
        <f>MOD!AC34</f>
        <v>15320.199999999999</v>
      </c>
      <c r="J4" s="105">
        <f>MOD!AH34</f>
        <v>15639.129000000001</v>
      </c>
      <c r="K4" s="105">
        <f>MOD!AI34</f>
        <v>16442.886020000002</v>
      </c>
      <c r="L4" s="105">
        <f>MOD!AJ34</f>
        <v>17316.160677600004</v>
      </c>
      <c r="M4" s="105"/>
    </row>
    <row r="5" spans="2:19" x14ac:dyDescent="0.25">
      <c r="F5" s="30" t="s">
        <v>89</v>
      </c>
      <c r="G5" s="111">
        <f>MOD!S35</f>
        <v>7.9973198079760888E-2</v>
      </c>
      <c r="H5" s="111">
        <f>H4/G4-1</f>
        <v>0.11424554900220696</v>
      </c>
      <c r="I5" s="111">
        <f>I4/H4-1</f>
        <v>7.9815052368936712E-2</v>
      </c>
      <c r="J5" s="112">
        <f>J4/I4-1</f>
        <v>2.0817548073785108E-2</v>
      </c>
      <c r="K5" s="112">
        <f>K4/J4-1</f>
        <v>5.1393975968866412E-2</v>
      </c>
      <c r="L5" s="112">
        <f>L4/K4-1</f>
        <v>5.3109573133196308E-2</v>
      </c>
      <c r="M5" s="112"/>
    </row>
    <row r="6" spans="2:19" x14ac:dyDescent="0.25">
      <c r="F6" s="30"/>
      <c r="G6" s="111"/>
      <c r="H6" s="111"/>
      <c r="I6" s="111"/>
      <c r="J6" s="112"/>
      <c r="K6" s="112"/>
      <c r="L6" s="112"/>
      <c r="M6" s="112"/>
    </row>
    <row r="7" spans="2:19" x14ac:dyDescent="0.25">
      <c r="B7" s="274" t="s">
        <v>92</v>
      </c>
      <c r="C7" s="274"/>
      <c r="F7" s="12" t="s">
        <v>70</v>
      </c>
      <c r="G7" s="113">
        <f>MOD!S75</f>
        <v>2544.2999999999993</v>
      </c>
      <c r="H7" s="113">
        <f>MOD!X75</f>
        <v>2641.6999999999989</v>
      </c>
      <c r="I7" s="113">
        <f>MOD!AC75</f>
        <v>3027.2999999999997</v>
      </c>
      <c r="J7" s="105">
        <f>MOD!AH75</f>
        <v>3482.2604600000004</v>
      </c>
      <c r="K7" s="105">
        <f>MOD!AI75</f>
        <v>4073.3402547000001</v>
      </c>
      <c r="L7" s="105">
        <f>MOD!AJ75</f>
        <v>4502.9555086360033</v>
      </c>
      <c r="M7" s="105"/>
      <c r="O7" s="114"/>
      <c r="P7" s="115"/>
      <c r="Q7" s="115"/>
      <c r="R7" s="115"/>
      <c r="S7" s="115"/>
    </row>
    <row r="8" spans="2:19" x14ac:dyDescent="0.25">
      <c r="B8" s="116" t="s">
        <v>93</v>
      </c>
      <c r="C8" s="117">
        <v>239.91</v>
      </c>
      <c r="F8" s="30" t="s">
        <v>94</v>
      </c>
      <c r="G8" s="111">
        <f>G7/G4</f>
        <v>0.19981779770833494</v>
      </c>
      <c r="H8" s="111">
        <f t="shared" ref="H8:L8" si="0">H7/H4</f>
        <v>0.18619518177589189</v>
      </c>
      <c r="I8" s="111">
        <f t="shared" si="0"/>
        <v>0.19760185898356417</v>
      </c>
      <c r="J8" s="112">
        <f t="shared" si="0"/>
        <v>0.22266332479257639</v>
      </c>
      <c r="K8" s="112">
        <f t="shared" si="0"/>
        <v>0.24772660041220668</v>
      </c>
      <c r="L8" s="112">
        <f t="shared" si="0"/>
        <v>0.26004352768919364</v>
      </c>
      <c r="M8" s="112"/>
      <c r="P8" s="115"/>
      <c r="Q8" s="141"/>
      <c r="R8" s="141"/>
      <c r="S8" s="141"/>
    </row>
    <row r="9" spans="2:19" x14ac:dyDescent="0.25">
      <c r="B9" s="118" t="s">
        <v>80</v>
      </c>
      <c r="C9" s="119">
        <v>287.99</v>
      </c>
      <c r="F9" s="30" t="s">
        <v>89</v>
      </c>
      <c r="G9" s="111">
        <f>MOD!S76</f>
        <v>6.5452261306532256E-2</v>
      </c>
      <c r="H9" s="111">
        <f>H7/G7-1</f>
        <v>3.8281649176590715E-2</v>
      </c>
      <c r="I9" s="111">
        <f t="shared" ref="I9:K9" si="1">I7/H7-1</f>
        <v>0.1459666124086767</v>
      </c>
      <c r="J9" s="112">
        <f t="shared" si="1"/>
        <v>0.15028588511214647</v>
      </c>
      <c r="K9" s="112">
        <f t="shared" si="1"/>
        <v>0.1697402596645512</v>
      </c>
      <c r="L9" s="112">
        <f>L7/K7-1</f>
        <v>0.10547001406040013</v>
      </c>
      <c r="M9" s="112"/>
    </row>
    <row r="10" spans="2:19" x14ac:dyDescent="0.25">
      <c r="B10" s="116" t="s">
        <v>95</v>
      </c>
      <c r="C10" s="120">
        <f>C8*C9</f>
        <v>69091.680900000007</v>
      </c>
      <c r="F10" s="30"/>
      <c r="G10" s="52"/>
      <c r="H10" s="111"/>
      <c r="I10" s="111"/>
      <c r="J10" s="112"/>
      <c r="K10" s="112"/>
      <c r="L10" s="112"/>
      <c r="M10" s="112"/>
    </row>
    <row r="11" spans="2:19" x14ac:dyDescent="0.25">
      <c r="B11" s="118" t="s">
        <v>96</v>
      </c>
      <c r="C11" s="121">
        <f>5.9+7538.8</f>
        <v>7544.7</v>
      </c>
      <c r="F11" s="122" t="s">
        <v>97</v>
      </c>
      <c r="G11" s="123">
        <f>MOD!S82</f>
        <v>3.91</v>
      </c>
      <c r="H11" s="123">
        <f>MOD!X82</f>
        <v>3.81</v>
      </c>
      <c r="I11" s="123">
        <f>MOD!AC82</f>
        <v>4.79</v>
      </c>
      <c r="J11" s="124">
        <f>MOD!AH82</f>
        <v>6.533598398606272</v>
      </c>
      <c r="K11" s="124">
        <f>MOD!AI82</f>
        <v>6.9192917375749134</v>
      </c>
      <c r="L11" s="125">
        <f>MOD!AJ82</f>
        <v>7.7226063159173481</v>
      </c>
      <c r="M11" s="126"/>
    </row>
    <row r="12" spans="2:19" x14ac:dyDescent="0.25">
      <c r="B12" s="118" t="s">
        <v>98</v>
      </c>
      <c r="C12" s="121">
        <v>384</v>
      </c>
      <c r="F12" s="127" t="s">
        <v>89</v>
      </c>
      <c r="G12" s="128"/>
      <c r="H12" s="129">
        <f>H11/G11-1</f>
        <v>-2.5575447570332477E-2</v>
      </c>
      <c r="I12" s="130">
        <f t="shared" ref="I12:L12" si="2">I11/H11-1</f>
        <v>0.25721784776902878</v>
      </c>
      <c r="J12" s="130">
        <f t="shared" si="2"/>
        <v>0.36400801641049529</v>
      </c>
      <c r="K12" s="130">
        <f t="shared" si="2"/>
        <v>5.9032299727959536E-2</v>
      </c>
      <c r="L12" s="131">
        <f t="shared" si="2"/>
        <v>0.11609780434319172</v>
      </c>
      <c r="M12" s="112"/>
    </row>
    <row r="13" spans="2:19" x14ac:dyDescent="0.25">
      <c r="B13" s="116" t="s">
        <v>99</v>
      </c>
      <c r="C13" s="120">
        <f>+C11-C12</f>
        <v>7160.7</v>
      </c>
      <c r="F13" s="12" t="s">
        <v>100</v>
      </c>
      <c r="G13" s="132">
        <f>MOD!S84</f>
        <v>4.7300000000000004</v>
      </c>
      <c r="H13" s="132">
        <f>MOD!X84</f>
        <v>4.47</v>
      </c>
      <c r="I13" s="132">
        <f>MOD!AC84</f>
        <v>5.19</v>
      </c>
      <c r="J13" s="132">
        <f>MOD!AH84</f>
        <v>6.65</v>
      </c>
      <c r="K13" s="132">
        <f>MOD!AI84</f>
        <v>7.48</v>
      </c>
      <c r="L13" s="132">
        <f>MOD!AJ84</f>
        <v>8.4700000000000006</v>
      </c>
      <c r="M13" s="132"/>
    </row>
    <row r="14" spans="2:19" x14ac:dyDescent="0.25">
      <c r="B14" s="118" t="s">
        <v>101</v>
      </c>
      <c r="C14" s="121">
        <v>0</v>
      </c>
      <c r="F14" s="30" t="s">
        <v>89</v>
      </c>
      <c r="I14" s="96"/>
      <c r="J14" s="110">
        <f>+J13/I11-1</f>
        <v>0.38830897703549061</v>
      </c>
      <c r="K14" s="110">
        <f>+K13/J13-1</f>
        <v>0.12481203007518804</v>
      </c>
      <c r="L14" s="110">
        <f>+L13/K13-1</f>
        <v>0.13235294117647056</v>
      </c>
      <c r="M14" s="110"/>
    </row>
    <row r="15" spans="2:19" ht="15.75" thickBot="1" x14ac:dyDescent="0.3">
      <c r="B15" s="133" t="s">
        <v>78</v>
      </c>
      <c r="C15" s="134">
        <f>+C10-C12+C11+C14</f>
        <v>76252.380900000004</v>
      </c>
      <c r="F15" s="135" t="s">
        <v>102</v>
      </c>
      <c r="G15" s="136"/>
      <c r="H15" s="136"/>
      <c r="I15" s="137"/>
      <c r="J15" s="138">
        <f>+IFERROR(J11/J13-1,"n.a.")</f>
        <v>-1.7504000209583204E-2</v>
      </c>
      <c r="K15" s="138">
        <f t="shared" ref="K15" si="3">+IFERROR(K11/K13-1,"n.a.")</f>
        <v>-7.4960997650412642E-2</v>
      </c>
      <c r="L15" s="139">
        <f>+IFERROR(L11/L13-1,"n.a.")</f>
        <v>-8.8240104378117135E-2</v>
      </c>
      <c r="M15" s="140"/>
    </row>
    <row r="16" spans="2:19" x14ac:dyDescent="0.25">
      <c r="C16" s="142"/>
      <c r="F16" s="12"/>
      <c r="G16" s="143"/>
      <c r="H16" s="143"/>
      <c r="I16" s="143"/>
      <c r="J16" s="143"/>
      <c r="K16" s="143"/>
      <c r="L16" s="143"/>
      <c r="M16" s="143"/>
    </row>
    <row r="17" spans="2:13" x14ac:dyDescent="0.25">
      <c r="G17" s="144">
        <f>G3</f>
        <v>2021</v>
      </c>
      <c r="H17" s="144">
        <f t="shared" ref="H17:L17" si="4">H3</f>
        <v>2022</v>
      </c>
      <c r="I17" s="144">
        <f t="shared" si="4"/>
        <v>2023</v>
      </c>
      <c r="J17" s="144" t="str">
        <f t="shared" si="4"/>
        <v>2024E</v>
      </c>
      <c r="K17" s="144" t="str">
        <f t="shared" si="4"/>
        <v>2025E</v>
      </c>
      <c r="L17" s="144" t="str">
        <f t="shared" si="4"/>
        <v>2026E</v>
      </c>
      <c r="M17" s="145"/>
    </row>
    <row r="18" spans="2:13" x14ac:dyDescent="0.25">
      <c r="B18" s="159" t="s">
        <v>106</v>
      </c>
      <c r="C18" s="159"/>
      <c r="F18" s="146" t="s">
        <v>103</v>
      </c>
      <c r="G18" s="147">
        <f>+$C$15/G4</f>
        <v>5.9885166141787947</v>
      </c>
      <c r="H18" s="147">
        <f>+$C$15/H4</f>
        <v>5.3745035100579379</v>
      </c>
      <c r="I18" s="147">
        <f t="shared" ref="I18:L18" si="5">+$C$15/I4</f>
        <v>4.9772444811425443</v>
      </c>
      <c r="J18" s="148">
        <f>+$C$15/J4</f>
        <v>4.875743457324254</v>
      </c>
      <c r="K18" s="148">
        <f t="shared" si="5"/>
        <v>4.6374085916092724</v>
      </c>
      <c r="L18" s="149">
        <f t="shared" si="5"/>
        <v>4.403538539500806</v>
      </c>
      <c r="M18" s="150"/>
    </row>
    <row r="19" spans="2:13" x14ac:dyDescent="0.25">
      <c r="B19" s="17" t="s">
        <v>107</v>
      </c>
      <c r="C19" s="160">
        <f>L11</f>
        <v>7.7226063159173481</v>
      </c>
      <c r="F19" s="151" t="s">
        <v>104</v>
      </c>
      <c r="G19" s="150">
        <f t="shared" ref="G19:L19" si="6">+$C$15/G7</f>
        <v>29.969885980426845</v>
      </c>
      <c r="H19" s="150">
        <f t="shared" si="6"/>
        <v>28.864890373623059</v>
      </c>
      <c r="I19" s="150">
        <f t="shared" si="6"/>
        <v>25.188247250024776</v>
      </c>
      <c r="J19" s="152">
        <f>+$C$15/J7</f>
        <v>21.897380100051446</v>
      </c>
      <c r="K19" s="152">
        <f t="shared" si="6"/>
        <v>18.719865302687797</v>
      </c>
      <c r="L19" s="153">
        <f t="shared" si="6"/>
        <v>16.933851723331312</v>
      </c>
      <c r="M19" s="150"/>
    </row>
    <row r="20" spans="2:13" x14ac:dyDescent="0.25">
      <c r="B20" s="17" t="s">
        <v>108</v>
      </c>
      <c r="C20" s="161">
        <f>L21</f>
        <v>28.324675324675322</v>
      </c>
      <c r="F20" s="151" t="s">
        <v>83</v>
      </c>
      <c r="G20" s="150">
        <f t="shared" ref="G20:L20" si="7">+$C$8/G11</f>
        <v>61.358056265984651</v>
      </c>
      <c r="H20" s="150">
        <f>+$C$8/H11</f>
        <v>62.968503937007874</v>
      </c>
      <c r="I20" s="150">
        <f t="shared" si="7"/>
        <v>50.085594989561585</v>
      </c>
      <c r="J20" s="152">
        <f>+$C$8/J11</f>
        <v>36.719428615504881</v>
      </c>
      <c r="K20" s="152">
        <f>+$C$8/K11</f>
        <v>34.672623889693675</v>
      </c>
      <c r="L20" s="153">
        <f t="shared" si="7"/>
        <v>31.065936833464196</v>
      </c>
      <c r="M20" s="150"/>
    </row>
    <row r="21" spans="2:13" x14ac:dyDescent="0.25">
      <c r="B21" s="12" t="s">
        <v>106</v>
      </c>
      <c r="C21" s="162">
        <f>+C19*C20</f>
        <v>218.7403165586459</v>
      </c>
      <c r="F21" s="154" t="s">
        <v>105</v>
      </c>
      <c r="G21" s="155">
        <f t="shared" ref="G21:L21" si="8">+$C$8/G13</f>
        <v>50.720930232558132</v>
      </c>
      <c r="H21" s="155">
        <f>+$C$8/H13</f>
        <v>53.671140939597315</v>
      </c>
      <c r="I21" s="155">
        <f>+$C$8/I13</f>
        <v>46.225433526011557</v>
      </c>
      <c r="J21" s="156">
        <f>+$C$8/J13</f>
        <v>36.076691729323308</v>
      </c>
      <c r="K21" s="156">
        <f t="shared" si="8"/>
        <v>32.073529411764703</v>
      </c>
      <c r="L21" s="157">
        <f t="shared" si="8"/>
        <v>28.324675324675322</v>
      </c>
      <c r="M21" s="150"/>
    </row>
    <row r="22" spans="2:13" x14ac:dyDescent="0.25">
      <c r="B22" s="163" t="s">
        <v>85</v>
      </c>
      <c r="C22" s="164">
        <f>+C21/$C$8-1</f>
        <v>-8.8240104378117246E-2</v>
      </c>
    </row>
    <row r="23" spans="2:13" x14ac:dyDescent="0.25">
      <c r="B23" s="165" t="s">
        <v>109</v>
      </c>
      <c r="C23" s="166">
        <f>+C21/$C$8</f>
        <v>0.91175989562188275</v>
      </c>
      <c r="F23" s="158"/>
      <c r="G23" s="158"/>
      <c r="H23" s="158"/>
      <c r="I23" s="158"/>
      <c r="J23" s="158"/>
      <c r="K23" s="158"/>
    </row>
    <row r="24" spans="2:13" x14ac:dyDescent="0.25">
      <c r="B24" s="167" t="s">
        <v>110</v>
      </c>
      <c r="C24" s="168">
        <f>+RATE(3,0,-C8,C21,0,0)</f>
        <v>-3.0323594096781495E-2</v>
      </c>
      <c r="F24" s="158"/>
      <c r="G24" s="158"/>
      <c r="H24" s="158"/>
      <c r="I24" s="158"/>
      <c r="J24" s="158"/>
      <c r="K24" s="158"/>
    </row>
    <row r="25" spans="2:13" ht="15" customHeight="1" x14ac:dyDescent="0.25">
      <c r="F25" s="158"/>
      <c r="G25" s="158"/>
      <c r="H25" s="158"/>
      <c r="I25" s="158"/>
      <c r="J25" s="158"/>
      <c r="K25" s="158"/>
    </row>
    <row r="26" spans="2:13" x14ac:dyDescent="0.25">
      <c r="B26" s="159" t="s">
        <v>111</v>
      </c>
      <c r="C26" s="159"/>
      <c r="G26" s="274" t="s">
        <v>81</v>
      </c>
      <c r="H26" s="274"/>
      <c r="I26" s="274"/>
      <c r="J26" s="274"/>
      <c r="K26" s="158"/>
    </row>
    <row r="27" spans="2:13" x14ac:dyDescent="0.25">
      <c r="B27" s="17" t="s">
        <v>112</v>
      </c>
      <c r="C27" s="160">
        <f>G29</f>
        <v>6.9192917375749134</v>
      </c>
      <c r="F27" s="100"/>
      <c r="G27" s="101" t="s">
        <v>43</v>
      </c>
      <c r="H27" s="102" t="s">
        <v>83</v>
      </c>
      <c r="I27" s="102" t="s">
        <v>84</v>
      </c>
      <c r="J27" s="102" t="s">
        <v>85</v>
      </c>
      <c r="K27" s="158"/>
    </row>
    <row r="28" spans="2:13" x14ac:dyDescent="0.25">
      <c r="B28" s="17" t="s">
        <v>108</v>
      </c>
      <c r="C28" s="161">
        <f>H29</f>
        <v>32.073529411764703</v>
      </c>
      <c r="F28" s="100" t="s">
        <v>88</v>
      </c>
      <c r="G28" s="106">
        <f>K13</f>
        <v>7.48</v>
      </c>
      <c r="H28" s="107">
        <f>K20</f>
        <v>34.672623889693675</v>
      </c>
      <c r="I28" s="108">
        <f>+IFERROR(G28*H28,"n.a.")</f>
        <v>259.35122669490869</v>
      </c>
      <c r="J28" s="109">
        <f>+IFERROR(I28/$C$8-1,"n.a.")</f>
        <v>8.103549954111422E-2</v>
      </c>
      <c r="K28" s="158"/>
    </row>
    <row r="29" spans="2:13" x14ac:dyDescent="0.25">
      <c r="B29" s="122" t="s">
        <v>113</v>
      </c>
      <c r="C29" s="169">
        <f>+C27*C28</f>
        <v>221.92610705368949</v>
      </c>
      <c r="F29" s="94" t="s">
        <v>90</v>
      </c>
      <c r="G29" s="106">
        <f>K11</f>
        <v>6.9192917375749134</v>
      </c>
      <c r="H29" s="107">
        <f>K21</f>
        <v>32.073529411764703</v>
      </c>
      <c r="I29" s="108">
        <f>+IFERROR(G29*H29,"n.a.")</f>
        <v>221.92610705368949</v>
      </c>
      <c r="J29" s="109">
        <f>+IFERROR(I29/$C$8-1,"n.a.")</f>
        <v>-7.4960997650412642E-2</v>
      </c>
    </row>
    <row r="30" spans="2:13" x14ac:dyDescent="0.25">
      <c r="B30" s="167" t="s">
        <v>85</v>
      </c>
      <c r="C30" s="168">
        <f>+C29/$C$8-1</f>
        <v>-7.4960997650412642E-2</v>
      </c>
      <c r="F30" s="100" t="s">
        <v>91</v>
      </c>
      <c r="G30" s="106">
        <f>J13</f>
        <v>6.65</v>
      </c>
      <c r="H30" s="107">
        <f>K21</f>
        <v>32.073529411764703</v>
      </c>
      <c r="I30" s="108">
        <f>+IFERROR(G30*H30,"n.a.")</f>
        <v>213.28897058823529</v>
      </c>
      <c r="J30" s="109">
        <f>+IFERROR(I30/$C$8-1,"n.a.")</f>
        <v>-0.11096256684491979</v>
      </c>
    </row>
    <row r="32" spans="2:13" x14ac:dyDescent="0.25">
      <c r="B32" s="170" t="s">
        <v>114</v>
      </c>
      <c r="C32" s="171"/>
    </row>
    <row r="33" spans="2:3" x14ac:dyDescent="0.25">
      <c r="B33" s="17" t="s">
        <v>115</v>
      </c>
      <c r="C33" s="160">
        <f>G30</f>
        <v>6.65</v>
      </c>
    </row>
    <row r="34" spans="2:3" x14ac:dyDescent="0.25">
      <c r="B34" s="17" t="s">
        <v>108</v>
      </c>
      <c r="C34" s="161">
        <f>H30</f>
        <v>32.073529411764703</v>
      </c>
    </row>
    <row r="35" spans="2:3" x14ac:dyDescent="0.25">
      <c r="B35" s="122" t="s">
        <v>116</v>
      </c>
      <c r="C35" s="169">
        <f>+C33*C34</f>
        <v>213.28897058823529</v>
      </c>
    </row>
    <row r="36" spans="2:3" x14ac:dyDescent="0.25">
      <c r="B36" s="167" t="s">
        <v>85</v>
      </c>
      <c r="C36" s="168">
        <f>+C35/$C$8-1</f>
        <v>-0.11096256684491979</v>
      </c>
    </row>
    <row r="38" spans="2:3" x14ac:dyDescent="0.25">
      <c r="B38" s="172" t="s">
        <v>117</v>
      </c>
      <c r="C38" s="173">
        <v>0.1196</v>
      </c>
    </row>
    <row r="39" spans="2:3" x14ac:dyDescent="0.25">
      <c r="B39" s="167" t="s">
        <v>74</v>
      </c>
      <c r="C39" s="174">
        <v>8.1900000000000001E-2</v>
      </c>
    </row>
  </sheetData>
  <mergeCells count="3">
    <mergeCell ref="B7:C7"/>
    <mergeCell ref="G2:L2"/>
    <mergeCell ref="G26:J2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DD99-9376-4E21-AADE-55AD1E55E497}">
  <dimension ref="A2:AC116"/>
  <sheetViews>
    <sheetView showGridLines="0" zoomScale="70" zoomScaleNormal="70" workbookViewId="0">
      <pane xSplit="3" ySplit="9" topLeftCell="D10" activePane="bottomRight" state="frozen"/>
      <selection activeCell="B46" sqref="B46"/>
      <selection pane="topRight" activeCell="B46" sqref="B46"/>
      <selection pane="bottomLeft" activeCell="B46" sqref="B46"/>
      <selection pane="bottomRight" activeCell="AA48" sqref="AA48"/>
    </sheetView>
  </sheetViews>
  <sheetFormatPr defaultColWidth="12" defaultRowHeight="15" outlineLevelRow="1" x14ac:dyDescent="0.25"/>
  <cols>
    <col min="1" max="1" width="4" style="181" customWidth="1"/>
    <col min="2" max="2" width="12" style="184" customWidth="1"/>
    <col min="3" max="3" width="23.42578125" style="184" customWidth="1"/>
    <col min="4" max="5" width="10.28515625" style="184" customWidth="1"/>
    <col min="6" max="6" width="11.28515625" style="184" customWidth="1"/>
    <col min="7" max="7" width="10.85546875" style="184" customWidth="1"/>
    <col min="8" max="9" width="10.28515625" style="184" customWidth="1"/>
    <col min="10" max="10" width="11.85546875" style="184" customWidth="1"/>
    <col min="11" max="13" width="10.28515625" style="184" customWidth="1"/>
    <col min="14" max="14" width="12.7109375" style="184" customWidth="1"/>
    <col min="15" max="19" width="10.28515625" style="184" customWidth="1"/>
    <col min="20" max="20" width="11" style="184" customWidth="1"/>
    <col min="21" max="22" width="11.85546875" style="184" customWidth="1"/>
    <col min="23" max="24" width="10.28515625" style="184" customWidth="1"/>
    <col min="25" max="25" width="11.85546875" style="184" bestFit="1" customWidth="1"/>
    <col min="26" max="26" width="13.140625" style="184" bestFit="1" customWidth="1"/>
    <col min="27" max="29" width="10.28515625" style="184" customWidth="1"/>
    <col min="30" max="16384" width="12" style="184"/>
  </cols>
  <sheetData>
    <row r="2" spans="1:29" s="179" customFormat="1" x14ac:dyDescent="0.25">
      <c r="A2" s="177"/>
      <c r="B2" s="178"/>
      <c r="F2" s="180"/>
      <c r="R2" s="180"/>
      <c r="U2" s="180"/>
    </row>
    <row r="4" spans="1:29" x14ac:dyDescent="0.25">
      <c r="B4" s="182" t="s">
        <v>73</v>
      </c>
      <c r="C4" s="183">
        <v>45518</v>
      </c>
      <c r="F4" s="185"/>
    </row>
    <row r="5" spans="1:29" x14ac:dyDescent="0.25">
      <c r="B5" s="182" t="s">
        <v>118</v>
      </c>
      <c r="C5" s="186" t="s">
        <v>119</v>
      </c>
    </row>
    <row r="7" spans="1:29" ht="17.25" x14ac:dyDescent="0.25">
      <c r="B7" s="187">
        <f ca="1">B7:O23</f>
        <v>0</v>
      </c>
      <c r="C7" s="188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90" t="s">
        <v>120</v>
      </c>
      <c r="Y7" s="190"/>
      <c r="Z7" s="190"/>
      <c r="AA7" s="190"/>
      <c r="AB7" s="190"/>
      <c r="AC7" s="190"/>
    </row>
    <row r="8" spans="1:29" ht="17.25" x14ac:dyDescent="0.25">
      <c r="B8" s="187"/>
      <c r="C8" s="187"/>
      <c r="D8" s="189" t="s">
        <v>121</v>
      </c>
      <c r="E8" s="189" t="s">
        <v>122</v>
      </c>
      <c r="F8" s="189" t="s">
        <v>123</v>
      </c>
      <c r="G8" s="189" t="s">
        <v>124</v>
      </c>
      <c r="H8" s="189"/>
      <c r="I8" s="190" t="s">
        <v>75</v>
      </c>
      <c r="J8" s="190"/>
      <c r="K8" s="190"/>
      <c r="L8" s="190" t="s">
        <v>70</v>
      </c>
      <c r="M8" s="190"/>
      <c r="N8" s="190" t="s">
        <v>125</v>
      </c>
      <c r="O8" s="190"/>
      <c r="P8" s="189"/>
      <c r="Q8" s="190" t="s">
        <v>126</v>
      </c>
      <c r="R8" s="190"/>
      <c r="S8" s="190" t="s">
        <v>127</v>
      </c>
      <c r="T8" s="190"/>
      <c r="U8" s="190" t="s">
        <v>128</v>
      </c>
      <c r="V8" s="190"/>
      <c r="W8" s="189"/>
      <c r="X8" s="190" t="s">
        <v>129</v>
      </c>
      <c r="Y8" s="190"/>
      <c r="Z8" s="190" t="s">
        <v>130</v>
      </c>
      <c r="AA8" s="190"/>
      <c r="AB8" s="190" t="s">
        <v>131</v>
      </c>
      <c r="AC8" s="190"/>
    </row>
    <row r="9" spans="1:29" ht="15.75" customHeight="1" x14ac:dyDescent="0.25">
      <c r="B9" s="191" t="s">
        <v>72</v>
      </c>
      <c r="C9" s="191" t="s">
        <v>132</v>
      </c>
      <c r="D9" s="192" t="s">
        <v>86</v>
      </c>
      <c r="E9" s="192" t="s">
        <v>133</v>
      </c>
      <c r="F9" s="192" t="s">
        <v>134</v>
      </c>
      <c r="G9" s="192" t="s">
        <v>135</v>
      </c>
      <c r="H9" s="189"/>
      <c r="I9" s="193" t="s">
        <v>136</v>
      </c>
      <c r="J9" s="193" t="s">
        <v>137</v>
      </c>
      <c r="K9" s="193" t="s">
        <v>138</v>
      </c>
      <c r="L9" s="193" t="s">
        <v>139</v>
      </c>
      <c r="M9" s="193" t="s">
        <v>140</v>
      </c>
      <c r="N9" s="193" t="str">
        <f>L9</f>
        <v>'22</v>
      </c>
      <c r="O9" s="193" t="str">
        <f>M9</f>
        <v>'23</v>
      </c>
      <c r="P9" s="192"/>
      <c r="Q9" s="193" t="s">
        <v>141</v>
      </c>
      <c r="R9" s="193" t="s">
        <v>142</v>
      </c>
      <c r="S9" s="193" t="s">
        <v>139</v>
      </c>
      <c r="T9" s="193" t="s">
        <v>140</v>
      </c>
      <c r="U9" s="193" t="str">
        <f>S9</f>
        <v>'22</v>
      </c>
      <c r="V9" s="193" t="str">
        <f>T9</f>
        <v>'23</v>
      </c>
      <c r="W9" s="193"/>
      <c r="X9" s="193" t="s">
        <v>143</v>
      </c>
      <c r="Y9" s="193" t="s">
        <v>144</v>
      </c>
      <c r="Z9" s="193" t="str">
        <f>X9</f>
        <v>‘24</v>
      </c>
      <c r="AA9" s="193" t="str">
        <f>Y9</f>
        <v>’25</v>
      </c>
      <c r="AB9" s="193" t="str">
        <f>Z9</f>
        <v>‘24</v>
      </c>
      <c r="AC9" s="193" t="str">
        <f>AA9</f>
        <v>’25</v>
      </c>
    </row>
    <row r="10" spans="1:29" ht="5.25" customHeight="1" x14ac:dyDescent="0.25">
      <c r="B10" s="194"/>
      <c r="C10" s="194"/>
      <c r="D10" s="195"/>
      <c r="E10" s="195"/>
      <c r="F10" s="195"/>
      <c r="G10" s="195"/>
      <c r="I10" s="195"/>
      <c r="J10" s="195"/>
      <c r="K10" s="195"/>
      <c r="L10" s="195"/>
      <c r="M10" s="195"/>
      <c r="N10" s="195"/>
      <c r="O10" s="195"/>
      <c r="P10" s="195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</row>
    <row r="11" spans="1:29" ht="15.75" customHeight="1" x14ac:dyDescent="0.25">
      <c r="B11" s="197" t="str">
        <f>B39</f>
        <v>ECL-US</v>
      </c>
      <c r="C11" s="198" t="str">
        <f>VLOOKUP($B11,$B$39:$Q$61,C$35,0)</f>
        <v>Ecolab Inc.</v>
      </c>
      <c r="D11" s="199">
        <f>VLOOKUP($B11,$B$39:$Q$49,D$35,0)</f>
        <v>241.33</v>
      </c>
      <c r="E11" s="199">
        <f>VLOOKUP($B11,$B$39:$Q$49,E$35,0)</f>
        <v>287.88521800000001</v>
      </c>
      <c r="F11" s="199">
        <f>VLOOKUP($B11,$B$39:$Q$49,F$35,0)</f>
        <v>69475.33965994</v>
      </c>
      <c r="G11" s="199">
        <f>VLOOKUP($B11,$B$39:$Q$49,G$35,0)</f>
        <v>77206.639659940003</v>
      </c>
      <c r="H11" s="199"/>
      <c r="I11" s="199">
        <f>VLOOKUP($B11,$B$39:$Q$49,K$35,0)</f>
        <v>12733.1</v>
      </c>
      <c r="J11" s="199">
        <f>VLOOKUP($B11,$B$39:$Q$49,L$35,0)</f>
        <v>14187.8</v>
      </c>
      <c r="K11" s="199">
        <f>VLOOKUP($B11,$B$39:$Q$49,M$35,0)</f>
        <v>15320.2</v>
      </c>
      <c r="L11" s="199">
        <f>VLOOKUP($B11,$B$39:$Q$49,N$35,0)</f>
        <v>2548.1999999999998</v>
      </c>
      <c r="M11" s="199">
        <f>VLOOKUP($B11,$B$39:$Q$49,O$35,0)</f>
        <v>3084.3</v>
      </c>
      <c r="N11" s="199">
        <f>INDEX($P$39:$P$49,MATCH($B11,$B$39:$B$49,0))</f>
        <v>1091.7</v>
      </c>
      <c r="O11" s="199">
        <f>INDEX($Q$39:$Q$49,MATCH($B11,$B$39:$B$49,0))</f>
        <v>1372.3</v>
      </c>
      <c r="P11" s="200"/>
      <c r="Q11" s="200">
        <f>J11/I11-1</f>
        <v>0.11424554900220674</v>
      </c>
      <c r="R11" s="200">
        <f>K11/J11-1</f>
        <v>7.9815052368936712E-2</v>
      </c>
      <c r="S11" s="200">
        <f>L11/J11</f>
        <v>0.17960501275743948</v>
      </c>
      <c r="T11" s="200">
        <f>M11/K11</f>
        <v>0.20132243704390282</v>
      </c>
      <c r="U11" s="200">
        <f>N11/J11</f>
        <v>7.6946390560904451E-2</v>
      </c>
      <c r="V11" s="200">
        <f>O11/K11</f>
        <v>8.9574548635135309E-2</v>
      </c>
      <c r="W11" s="200"/>
      <c r="X11" s="201">
        <f t="array" ref="X11">_xll.FDS(B39,"FE_VALUATION(FFEV_SALES,MEAN,ANN,+1,NOW,,,'')")</f>
        <v>4.8266964000000003</v>
      </c>
      <c r="Y11" s="201">
        <f t="array" ref="Y11">_xll.FDS(B39,"FE_VALUATION(FFEV_SALES,MEAN,ANN,+2,NOW,,,'')")</f>
        <v>4.6450787</v>
      </c>
      <c r="Z11" s="201">
        <f t="array" ref="Z11">_xll.FDS(B39,"FE_VALUATION(FFEV_EBITDA,MEAN,ANN,+1,NOW,,,'')")</f>
        <v>21.467960000000001</v>
      </c>
      <c r="AA11" s="201">
        <f t="array" ref="AA11">_xll.FDS(B39,"FE_VALUATION(FFEV_EBITDA,MEAN,ANN,+2,NOW,,,'')")</f>
        <v>19.988883999999999</v>
      </c>
      <c r="AB11" s="201">
        <f t="array" ref="AB11">_xll.FDS(B39,"FE_VALUATION(PE,MEAN,ANN,+1,NOW,,,'')")</f>
        <v>36.009483000000003</v>
      </c>
      <c r="AC11" s="201">
        <f t="array" ref="AC11">_xll.FDS(B39,"FE_VALUATION(PE,MEAN,ANN,+2,NOW,,,'')")</f>
        <v>31.946083000000002</v>
      </c>
    </row>
    <row r="12" spans="1:29" ht="4.5" customHeight="1" x14ac:dyDescent="0.25">
      <c r="B12" s="202"/>
      <c r="C12" s="203"/>
      <c r="D12" s="204"/>
      <c r="E12" s="205"/>
      <c r="F12" s="205"/>
      <c r="G12" s="205"/>
      <c r="I12" s="205"/>
      <c r="J12" s="205"/>
      <c r="K12" s="205"/>
      <c r="L12" s="205"/>
      <c r="M12" s="205"/>
      <c r="N12" s="205"/>
      <c r="O12" s="205"/>
      <c r="P12" s="206"/>
      <c r="Q12" s="200"/>
      <c r="R12" s="200"/>
      <c r="S12" s="200"/>
      <c r="T12" s="200"/>
      <c r="U12" s="200"/>
      <c r="V12" s="200"/>
      <c r="W12" s="206"/>
      <c r="X12" s="201"/>
      <c r="Y12" s="201"/>
      <c r="Z12" s="201"/>
      <c r="AA12" s="201"/>
      <c r="AB12" s="201"/>
      <c r="AC12" s="201"/>
    </row>
    <row r="13" spans="1:29" ht="15.75" customHeight="1" x14ac:dyDescent="0.25">
      <c r="A13" s="181">
        <v>1</v>
      </c>
      <c r="B13" s="202" t="str">
        <f t="shared" ref="B13:B20" si="0">B40</f>
        <v>DD-US</v>
      </c>
      <c r="C13" s="184" t="str">
        <f t="shared" ref="C13:C20" si="1">VLOOKUP($B13,$B$39:$Q$61,C$35,0)</f>
        <v>DuPont de Nemours, Inc.</v>
      </c>
      <c r="D13" s="199">
        <f t="shared" ref="D13:G20" si="2">VLOOKUP($B13,$B$39:$Q$49,D$35,0)</f>
        <v>78.83</v>
      </c>
      <c r="E13" s="199">
        <f t="shared" si="2"/>
        <v>432.72320400000001</v>
      </c>
      <c r="F13" s="199">
        <f t="shared" si="2"/>
        <v>34111.570171320003</v>
      </c>
      <c r="G13" s="199">
        <f t="shared" si="2"/>
        <v>40219.570171320003</v>
      </c>
      <c r="I13" s="199">
        <f t="shared" ref="I13:M20" si="3">VLOOKUP($B13,$B$39:$Q$49,K$35,0)</f>
        <v>12566</v>
      </c>
      <c r="J13" s="199">
        <f t="shared" si="3"/>
        <v>13017</v>
      </c>
      <c r="K13" s="199">
        <f t="shared" si="3"/>
        <v>12068</v>
      </c>
      <c r="L13" s="199">
        <f t="shared" si="3"/>
        <v>3157</v>
      </c>
      <c r="M13" s="199">
        <f t="shared" si="3"/>
        <v>2864</v>
      </c>
      <c r="N13" s="199">
        <f>INDEX($P$39:$P$49,MATCH($B13,$B$39:$B$49,0))</f>
        <v>1012</v>
      </c>
      <c r="O13" s="199">
        <f>INDEX($Q$39:$Q$49,MATCH($B13,$B$39:$B$49,0))</f>
        <v>494</v>
      </c>
      <c r="P13" s="207"/>
      <c r="Q13" s="200">
        <f t="shared" ref="Q13:R18" si="4">J13/I13-1</f>
        <v>3.5890498169664165E-2</v>
      </c>
      <c r="R13" s="200">
        <f t="shared" si="4"/>
        <v>-7.2904663132826286E-2</v>
      </c>
      <c r="S13" s="200">
        <f t="shared" ref="S13:T18" si="5">L13/J13</f>
        <v>0.2425290005377583</v>
      </c>
      <c r="T13" s="200">
        <f t="shared" si="5"/>
        <v>0.23732184289028838</v>
      </c>
      <c r="U13" s="200">
        <f t="shared" ref="U13:V18" si="6">N13/J13</f>
        <v>7.774448797726051E-2</v>
      </c>
      <c r="V13" s="200">
        <f t="shared" si="6"/>
        <v>4.0934703347696388E-2</v>
      </c>
      <c r="W13" s="207"/>
      <c r="X13" s="201">
        <f t="array" ref="X13">_xll.FDS(B40,"FE_VALUATION(FFEV_SALES,MEAN,ANN,+1,NOW,,,'')")</f>
        <v>3.2663972000000001</v>
      </c>
      <c r="Y13" s="201">
        <f t="array" ref="Y13">_xll.FDS(B40,"FE_VALUATION(FFEV_SALES,MEAN,ANN,+2,NOW,,,'')")</f>
        <v>3.0917851999999999</v>
      </c>
      <c r="Z13" s="201">
        <f t="array" ref="Z13">_xll.FDS(B40,"FE_VALUATION(FFEV_EBITDA,MEAN,ANN,+1,NOW,,,'')")</f>
        <v>13.149065999999999</v>
      </c>
      <c r="AA13" s="201">
        <f t="array" ref="AA13">_xll.FDS(B40,"FE_VALUATION(FFEV_EBITDA,MEAN,ANN,+2,NOW,,,'')")</f>
        <v>12.063432000000001</v>
      </c>
      <c r="AB13" s="201">
        <f t="array" ref="AB13">_xll.FDS(B40,"FE_VALUATION(PE,MEAN,ANN,+1,NOW,,,'')")</f>
        <v>20.914090999999999</v>
      </c>
      <c r="AC13" s="201">
        <f t="array" ref="AC13">_xll.FDS(B40,"FE_VALUATION(PE,MEAN,ANN,+2,NOW,,,'')")</f>
        <v>17.978437</v>
      </c>
    </row>
    <row r="14" spans="1:29" ht="15.75" customHeight="1" x14ac:dyDescent="0.25">
      <c r="A14" s="181">
        <f t="shared" ref="A14:A18" si="7">A13+1</f>
        <v>2</v>
      </c>
      <c r="B14" s="202" t="str">
        <f t="shared" si="0"/>
        <v>XYL-US</v>
      </c>
      <c r="C14" s="184" t="str">
        <f t="shared" si="1"/>
        <v>Xylem Inc.</v>
      </c>
      <c r="D14" s="199">
        <f t="shared" si="2"/>
        <v>131.71</v>
      </c>
      <c r="E14" s="199">
        <f t="shared" si="2"/>
        <v>243.67238900000001</v>
      </c>
      <c r="F14" s="199">
        <f t="shared" si="2"/>
        <v>32094.090355190005</v>
      </c>
      <c r="G14" s="199">
        <f t="shared" si="2"/>
        <v>33383.090355190005</v>
      </c>
      <c r="I14" s="199">
        <f t="shared" si="3"/>
        <v>5199</v>
      </c>
      <c r="J14" s="199">
        <f t="shared" si="3"/>
        <v>5541</v>
      </c>
      <c r="K14" s="199">
        <f t="shared" si="3"/>
        <v>7367</v>
      </c>
      <c r="L14" s="199">
        <f t="shared" si="3"/>
        <v>901</v>
      </c>
      <c r="M14" s="199">
        <f t="shared" si="3"/>
        <v>1171</v>
      </c>
      <c r="N14" s="199">
        <f t="shared" ref="N14" si="8">INDEX($P$39:$P$49,MATCH($B14,$B$39:$B$49,0))</f>
        <v>355</v>
      </c>
      <c r="O14" s="199">
        <f t="shared" ref="O14:O20" si="9">INDEX($Q$39:$Q$49,MATCH($B14,$B$39:$B$49,0))</f>
        <v>609</v>
      </c>
      <c r="P14" s="207"/>
      <c r="Q14" s="200">
        <f t="shared" si="4"/>
        <v>6.5781881130986708E-2</v>
      </c>
      <c r="R14" s="200">
        <f t="shared" si="4"/>
        <v>0.32954340371774049</v>
      </c>
      <c r="S14" s="200">
        <f t="shared" si="5"/>
        <v>0.16260602779281719</v>
      </c>
      <c r="T14" s="200">
        <f t="shared" si="5"/>
        <v>0.15895208361612598</v>
      </c>
      <c r="U14" s="200">
        <f>N14/J14</f>
        <v>6.4067857787402996E-2</v>
      </c>
      <c r="V14" s="200">
        <f t="shared" si="6"/>
        <v>8.2665942717524088E-2</v>
      </c>
      <c r="W14" s="207"/>
      <c r="X14" s="201">
        <f t="array" ref="X14">_xll.FDS(B41,"FE_VALUATION(FFEV_SALES,MEAN,ANN,+1,NOW,,,'')")</f>
        <v>3.8712784999999998</v>
      </c>
      <c r="Y14" s="201">
        <f t="array" ref="Y14">_xll.FDS(B41,"FE_VALUATION(FFEV_SALES,MEAN,ANN,+2,NOW,,,'')")</f>
        <v>3.6743530999999998</v>
      </c>
      <c r="Z14" s="201">
        <f t="array" ref="Z14">_xll.FDS(B41,"FE_VALUATION(FFEV_EBITDA,MEAN,ANN,+1,NOW,,,'')")</f>
        <v>19.079301999999998</v>
      </c>
      <c r="AA14" s="201">
        <f t="array" ref="AA14">_xll.FDS(B41,"FE_VALUATION(FFEV_EBITDA,MEAN,ANN,+2,NOW,,,'')")</f>
        <v>17.327179000000001</v>
      </c>
      <c r="AB14" s="201">
        <f t="array" ref="AB14">_xll.FDS(B41,"FE_VALUATION(PE,MEAN,ANN,+1,NOW,,,'')")</f>
        <v>30.942018999999998</v>
      </c>
      <c r="AC14" s="201">
        <f t="array" ref="AC14">_xll.FDS(B41,"FE_VALUATION(PE,MEAN,ANN,+2,NOW,,,'')")</f>
        <v>27.396307</v>
      </c>
    </row>
    <row r="15" spans="1:29" ht="15.75" customHeight="1" x14ac:dyDescent="0.25">
      <c r="A15" s="181">
        <f t="shared" si="7"/>
        <v>3</v>
      </c>
      <c r="B15" s="202" t="str">
        <f t="shared" si="0"/>
        <v>DOV-US</v>
      </c>
      <c r="C15" s="184" t="str">
        <f t="shared" si="1"/>
        <v>Dover Corporation</v>
      </c>
      <c r="D15" s="199">
        <f t="shared" si="2"/>
        <v>176.65</v>
      </c>
      <c r="E15" s="199">
        <f t="shared" si="2"/>
        <v>140.818815</v>
      </c>
      <c r="F15" s="199">
        <f t="shared" si="2"/>
        <v>24875.643669749999</v>
      </c>
      <c r="G15" s="199">
        <f t="shared" si="2"/>
        <v>27718.276669749997</v>
      </c>
      <c r="I15" s="199">
        <f t="shared" si="3"/>
        <v>7907.0810000000001</v>
      </c>
      <c r="J15" s="199">
        <f t="shared" si="3"/>
        <v>8508.0879999999997</v>
      </c>
      <c r="K15" s="199">
        <f t="shared" si="3"/>
        <v>8438.134</v>
      </c>
      <c r="L15" s="199">
        <f t="shared" si="3"/>
        <v>1725.8579999999999</v>
      </c>
      <c r="M15" s="199">
        <f t="shared" si="3"/>
        <v>1747.479</v>
      </c>
      <c r="N15" s="199">
        <f>INDEX($P$39:$P$49,MATCH($B15,$B$39:$B$49,0))</f>
        <v>1065.376</v>
      </c>
      <c r="O15" s="199">
        <f t="shared" si="9"/>
        <v>1056.828</v>
      </c>
      <c r="P15" s="207"/>
      <c r="Q15" s="200">
        <f t="shared" si="4"/>
        <v>7.6008706626377043E-2</v>
      </c>
      <c r="R15" s="200">
        <f t="shared" si="4"/>
        <v>-8.2220588221466606E-3</v>
      </c>
      <c r="S15" s="200">
        <f t="shared" si="5"/>
        <v>0.2028491007615342</v>
      </c>
      <c r="T15" s="200">
        <f t="shared" si="5"/>
        <v>0.2070930610962092</v>
      </c>
      <c r="U15" s="200">
        <f t="shared" si="6"/>
        <v>0.12521920318642685</v>
      </c>
      <c r="V15" s="200">
        <f t="shared" si="6"/>
        <v>0.12524427794107085</v>
      </c>
      <c r="W15" s="207"/>
      <c r="X15" s="201">
        <f t="array" ref="X15">_xll.FDS(B42,"FE_VALUATION(FFEV_SALES,MEAN,ANN,+1,NOW,,,'')")</f>
        <v>3.1677355999999999</v>
      </c>
      <c r="Y15" s="201">
        <f t="array" ref="Y15">_xll.FDS(B42,"FE_VALUATION(FFEV_SALES,MEAN,ANN,+2,NOW,,,'')")</f>
        <v>3.1424577</v>
      </c>
      <c r="Z15" s="201">
        <f t="array" ref="Z15">_xll.FDS(B42,"FE_VALUATION(FFEV_EBITDA,MEAN,ANN,+1,NOW,,,'')")</f>
        <v>14.777797</v>
      </c>
      <c r="AA15" s="201">
        <f t="array" ref="AA15">_xll.FDS(B42,"FE_VALUATION(FFEV_EBITDA,MEAN,ANN,+2,NOW,,,'')")</f>
        <v>14.305358999999999</v>
      </c>
      <c r="AB15" s="201">
        <f t="array" ref="AB15">_xll.FDS(B42,"FE_VALUATION(PE,MEAN,ANN,+1,NOW,,,'')")</f>
        <v>19.270766999999999</v>
      </c>
      <c r="AC15" s="201">
        <f t="array" ref="AC15">_xll.FDS(B42,"FE_VALUATION(PE,MEAN,ANN,+2,NOW,,,'')")</f>
        <v>18.140156000000001</v>
      </c>
    </row>
    <row r="16" spans="1:29" ht="15.75" customHeight="1" x14ac:dyDescent="0.25">
      <c r="A16" s="181">
        <f t="shared" si="7"/>
        <v>4</v>
      </c>
      <c r="B16" s="202" t="str">
        <f t="shared" si="0"/>
        <v>CLX-US</v>
      </c>
      <c r="C16" s="184" t="str">
        <f t="shared" si="1"/>
        <v>Clorox Company</v>
      </c>
      <c r="D16" s="199">
        <f t="shared" si="2"/>
        <v>143.63</v>
      </c>
      <c r="E16" s="199">
        <f t="shared" si="2"/>
        <v>125.53280700000001</v>
      </c>
      <c r="F16" s="199">
        <f>VLOOKUP($B16,$B$39:$Q$49,F$35,0)</f>
        <v>18030.27706941</v>
      </c>
      <c r="G16" s="199">
        <f t="shared" si="2"/>
        <v>21275.27706941</v>
      </c>
      <c r="I16" s="199">
        <f t="shared" si="3"/>
        <v>7107</v>
      </c>
      <c r="J16" s="199">
        <f t="shared" si="3"/>
        <v>7389</v>
      </c>
      <c r="K16" s="199">
        <f t="shared" si="3"/>
        <v>7093</v>
      </c>
      <c r="L16" s="199">
        <f t="shared" si="3"/>
        <v>1063</v>
      </c>
      <c r="M16" s="199">
        <f t="shared" si="3"/>
        <v>1151</v>
      </c>
      <c r="N16" s="199">
        <f t="shared" ref="N16:N20" si="10">INDEX($P$39:$P$49,MATCH($B16,$B$39:$B$49,0))</f>
        <v>149</v>
      </c>
      <c r="O16" s="199">
        <f t="shared" si="9"/>
        <v>280</v>
      </c>
      <c r="P16" s="207"/>
      <c r="Q16" s="200">
        <f t="shared" si="4"/>
        <v>3.9679189531447889E-2</v>
      </c>
      <c r="R16" s="200">
        <f t="shared" si="4"/>
        <v>-4.0059547976722176E-2</v>
      </c>
      <c r="S16" s="200">
        <f t="shared" si="5"/>
        <v>0.14386249830829612</v>
      </c>
      <c r="T16" s="200">
        <f t="shared" si="5"/>
        <v>0.16227266318905964</v>
      </c>
      <c r="U16" s="200">
        <f t="shared" si="6"/>
        <v>2.0165110299093247E-2</v>
      </c>
      <c r="V16" s="200">
        <f t="shared" si="6"/>
        <v>3.9475539264063164E-2</v>
      </c>
      <c r="W16" s="207"/>
      <c r="X16" s="201">
        <f t="array" ref="X16">_xll.FDS(B43,"FE_VALUATION(FFEV_SALES,MEAN,ANN,+1,NOW,,,'')")</f>
        <v>3.0521595000000001</v>
      </c>
      <c r="Y16" s="201">
        <f t="array" ref="Y16">_xll.FDS(B43,"FE_VALUATION(FFEV_SALES,MEAN,ANN,+2,NOW,,,'')")</f>
        <v>2.9757516000000002</v>
      </c>
      <c r="Z16" s="201">
        <f t="array" ref="Z16">_xll.FDS(B43,"FE_VALUATION(FFEV_EBITDA,MEAN,ANN,+1,NOW,,,'')")</f>
        <v>15.4531975</v>
      </c>
      <c r="AA16" s="201">
        <f t="array" ref="AA16">_xll.FDS(B43,"FE_VALUATION(FFEV_EBITDA,MEAN,ANN,+2,NOW,,,'')")</f>
        <v>14.511207000000001</v>
      </c>
      <c r="AB16" s="201">
        <f t="array" ref="AB16">_xll.FDS(B43,"FE_VALUATION(PE,MEAN,ANN,+1,NOW,,,'')")</f>
        <v>21.855902</v>
      </c>
      <c r="AC16" s="201">
        <f t="array" ref="AC16">_xll.FDS(B43,"FE_VALUATION(PE,MEAN,ANN,+2,NOW,,,'')")</f>
        <v>20.440860000000001</v>
      </c>
    </row>
    <row r="17" spans="1:29" ht="15.75" customHeight="1" x14ac:dyDescent="0.25">
      <c r="A17" s="181">
        <f t="shared" si="7"/>
        <v>5</v>
      </c>
      <c r="B17" s="202" t="str">
        <f t="shared" si="0"/>
        <v>STE-US</v>
      </c>
      <c r="C17" s="184" t="str">
        <f t="shared" si="1"/>
        <v>STERIS plc</v>
      </c>
      <c r="D17" s="199">
        <f t="shared" si="2"/>
        <v>233.79</v>
      </c>
      <c r="E17" s="199">
        <f t="shared" si="2"/>
        <v>99.845626999999993</v>
      </c>
      <c r="F17" s="199">
        <f t="shared" si="2"/>
        <v>23342.909136329996</v>
      </c>
      <c r="G17" s="199">
        <f t="shared" si="2"/>
        <v>25629.249136329996</v>
      </c>
      <c r="I17" s="199">
        <f t="shared" si="3"/>
        <v>4585.0640000000003</v>
      </c>
      <c r="J17" s="199">
        <f t="shared" si="3"/>
        <v>4536.2659999999996</v>
      </c>
      <c r="K17" s="199">
        <f t="shared" si="3"/>
        <v>5138.701</v>
      </c>
      <c r="L17" s="199">
        <f t="shared" si="3"/>
        <v>1364.057</v>
      </c>
      <c r="M17" s="199">
        <f t="shared" si="3"/>
        <v>1473.085</v>
      </c>
      <c r="N17" s="199">
        <f t="shared" si="10"/>
        <v>557.41399999999999</v>
      </c>
      <c r="O17" s="199">
        <f t="shared" si="9"/>
        <v>551.44000000000005</v>
      </c>
      <c r="P17" s="207"/>
      <c r="Q17" s="200">
        <f t="shared" si="4"/>
        <v>-1.0642817635697299E-2</v>
      </c>
      <c r="R17" s="200">
        <f t="shared" si="4"/>
        <v>0.13280416095528791</v>
      </c>
      <c r="S17" s="200">
        <f t="shared" si="5"/>
        <v>0.30070039984427721</v>
      </c>
      <c r="T17" s="200">
        <f t="shared" si="5"/>
        <v>0.28666485946545633</v>
      </c>
      <c r="U17" s="200">
        <f t="shared" si="6"/>
        <v>0.12287947840801224</v>
      </c>
      <c r="V17" s="200">
        <f t="shared" si="6"/>
        <v>0.10731116677152457</v>
      </c>
      <c r="W17" s="207"/>
      <c r="X17" s="201">
        <f t="array" ref="X17">_xll.FDS(B44,"FE_VALUATION(FFEV_SALES,MEAN,ANN,+1,NOW,,,'')")</f>
        <v>4.6062859999999999</v>
      </c>
      <c r="Y17" s="201">
        <f t="array" ref="Y17">_xll.FDS(B44,"FE_VALUATION(FFEV_SALES,MEAN,ANN,+2,NOW,,,'')")</f>
        <v>4.3418539999999997</v>
      </c>
      <c r="Z17" s="201">
        <f t="array" ref="Z17">_xll.FDS(B44,"FE_VALUATION(FFEV_EBITDA,MEAN,ANN,+1,NOW,,,'')")</f>
        <v>16.461596</v>
      </c>
      <c r="AA17" s="201">
        <f t="array" ref="AA17">_xll.FDS(B44,"FE_VALUATION(FFEV_EBITDA,MEAN,ANN,+2,NOW,,,'')")</f>
        <v>15.158103000000001</v>
      </c>
      <c r="AB17" s="201">
        <f t="array" ref="AB17">_xll.FDS(B44,"FE_VALUATION(PE,MEAN,ANN,+1,NOW,,,'')")</f>
        <v>25.33952</v>
      </c>
      <c r="AC17" s="201">
        <f t="array" ref="AC17">_xll.FDS(B44,"FE_VALUATION(PE,MEAN,ANN,+2,NOW,,,'')")</f>
        <v>22.977938000000002</v>
      </c>
    </row>
    <row r="18" spans="1:29" ht="15.75" customHeight="1" x14ac:dyDescent="0.25">
      <c r="A18" s="181">
        <f t="shared" si="7"/>
        <v>6</v>
      </c>
      <c r="B18" s="202" t="str">
        <f t="shared" si="0"/>
        <v>PNR-US</v>
      </c>
      <c r="C18" s="184" t="str">
        <f t="shared" si="1"/>
        <v>Pentair plc</v>
      </c>
      <c r="D18" s="199">
        <f t="shared" si="2"/>
        <v>84.81</v>
      </c>
      <c r="E18" s="199">
        <f t="shared" si="2"/>
        <v>167.20883599999999</v>
      </c>
      <c r="F18" s="199">
        <f t="shared" si="2"/>
        <v>14180.98138116</v>
      </c>
      <c r="G18" s="199">
        <f t="shared" si="2"/>
        <v>15852.08138116</v>
      </c>
      <c r="I18" s="199">
        <f t="shared" si="3"/>
        <v>3764.8</v>
      </c>
      <c r="J18" s="199">
        <f t="shared" si="3"/>
        <v>4121.8</v>
      </c>
      <c r="K18" s="199">
        <f t="shared" si="3"/>
        <v>4104.5</v>
      </c>
      <c r="L18" s="199">
        <f t="shared" si="3"/>
        <v>785.4</v>
      </c>
      <c r="M18" s="199">
        <f t="shared" si="3"/>
        <v>904.7</v>
      </c>
      <c r="N18" s="199">
        <f t="shared" si="10"/>
        <v>483.2</v>
      </c>
      <c r="O18" s="199">
        <f t="shared" si="9"/>
        <v>622.9</v>
      </c>
      <c r="P18" s="207"/>
      <c r="Q18" s="200">
        <f t="shared" si="4"/>
        <v>9.4825754356141045E-2</v>
      </c>
      <c r="R18" s="200">
        <f t="shared" si="4"/>
        <v>-4.1971954000680212E-3</v>
      </c>
      <c r="S18" s="200">
        <f t="shared" si="5"/>
        <v>0.19054781891406666</v>
      </c>
      <c r="T18" s="200">
        <f t="shared" si="5"/>
        <v>0.22041661590936779</v>
      </c>
      <c r="U18" s="200">
        <f t="shared" si="6"/>
        <v>0.1172303362608569</v>
      </c>
      <c r="V18" s="200">
        <f t="shared" si="6"/>
        <v>0.15176026312583749</v>
      </c>
      <c r="W18" s="207"/>
      <c r="X18" s="201">
        <f t="array" ref="X18">_xll.FDS(B45,"FE_VALUATION(FFEV_SALES,MEAN,ANN,+1,NOW,,,'')")</f>
        <v>3.7964224999999998</v>
      </c>
      <c r="Y18" s="201">
        <f t="array" ref="Y18">_xll.FDS(B45,"FE_VALUATION(FFEV_SALES,MEAN,ANN,+2,NOW,,,'')")</f>
        <v>3.6385420000000002</v>
      </c>
      <c r="Z18" s="201">
        <f t="array" ref="Z18">_xll.FDS(B45,"FE_VALUATION(FFEV_EBITDA,MEAN,ANN,+1,NOW,,,'')")</f>
        <v>15.246924</v>
      </c>
      <c r="AA18" s="201">
        <f t="array" ref="AA18">_xll.FDS(B45,"FE_VALUATION(FFEV_EBITDA,MEAN,ANN,+2,NOW,,,'')")</f>
        <v>14.022465</v>
      </c>
      <c r="AB18" s="201">
        <f t="array" ref="AB18">_xll.FDS(B45,"FE_VALUATION(PE,MEAN,ANN,+1,NOW,,,'')")</f>
        <v>19.653842999999998</v>
      </c>
      <c r="AC18" s="201">
        <f t="array" ref="AC18">_xll.FDS(B45,"FE_VALUATION(PE,MEAN,ANN,+2,NOW,,,'')")</f>
        <v>17.421053000000001</v>
      </c>
    </row>
    <row r="19" spans="1:29" ht="15.75" customHeight="1" x14ac:dyDescent="0.25">
      <c r="A19" s="181">
        <f>A18+1</f>
        <v>7</v>
      </c>
      <c r="B19" s="202" t="str">
        <f t="shared" si="0"/>
        <v>VIE-FR</v>
      </c>
      <c r="C19" s="184" t="str">
        <f t="shared" si="1"/>
        <v>Veolia Environnement SA</v>
      </c>
      <c r="D19" s="199">
        <f t="shared" si="2"/>
        <v>30.632974999999998</v>
      </c>
      <c r="E19" s="199">
        <f t="shared" si="2"/>
        <v>718.53451800000005</v>
      </c>
      <c r="F19" s="199">
        <f t="shared" si="2"/>
        <v>22010.849926531049</v>
      </c>
      <c r="G19" s="199" t="e">
        <f>VLOOKUP($B19,$B$39:$Q$49,G$35,0)</f>
        <v>#VALUE!</v>
      </c>
      <c r="I19" s="199">
        <f t="shared" si="3"/>
        <v>33696.031620204398</v>
      </c>
      <c r="J19" s="199">
        <f t="shared" si="3"/>
        <v>45071.351108980198</v>
      </c>
      <c r="K19" s="199">
        <f t="shared" si="3"/>
        <v>49029.673731923103</v>
      </c>
      <c r="L19" s="199">
        <f t="shared" si="3"/>
        <v>6283.4604600000002</v>
      </c>
      <c r="M19" s="199">
        <f t="shared" si="3"/>
        <v>6482.3691600000002</v>
      </c>
      <c r="N19" s="199">
        <f t="shared" si="10"/>
        <v>834.89403877258303</v>
      </c>
      <c r="O19" s="199">
        <f t="shared" si="9"/>
        <v>1038.9520949125299</v>
      </c>
      <c r="P19" s="207"/>
      <c r="Q19" s="200">
        <f>J19/I19-1</f>
        <v>0.33758632520854692</v>
      </c>
      <c r="R19" s="200">
        <f>K19/J19-1</f>
        <v>8.7823473793183782E-2</v>
      </c>
      <c r="S19" s="200">
        <f>L19/J19</f>
        <v>0.13941140670060939</v>
      </c>
      <c r="T19" s="200">
        <f>M19/K19</f>
        <v>0.13221318166307408</v>
      </c>
      <c r="U19" s="200">
        <f>N19/J19</f>
        <v>1.8523829843792621E-2</v>
      </c>
      <c r="V19" s="200">
        <f>O19/K19</f>
        <v>2.1190271438336548E-2</v>
      </c>
      <c r="W19" s="207"/>
      <c r="X19" s="201">
        <f t="array" ref="X19">_xll.FDS(B46,"FE_VALUATION(FFEV_SALES,MEAN,ANN,+1,NOW,,,'')")</f>
        <v>1.0628968000000001</v>
      </c>
      <c r="Y19" s="201">
        <f t="array" ref="Y19">_xll.FDS(B46,"FE_VALUATION(FFEV_SALES,MEAN,ANN,+2,NOW,,,'')")</f>
        <v>1.0198839</v>
      </c>
      <c r="Z19" s="201">
        <f t="array" ref="Z19">_xll.FDS(B46,"FE_VALUATION(FFEV_EBITDA,MEAN,ANN,+1,NOW,,,'')")</f>
        <v>7.2120470000000001</v>
      </c>
      <c r="AA19" s="201">
        <f t="array" ref="AA19">_xll.FDS(B46,"FE_VALUATION(FFEV_EBITDA,MEAN,ANN,+2,NOW,,,'')")</f>
        <v>6.800306</v>
      </c>
      <c r="AB19" s="201">
        <f t="array" ref="AB19">_xll.FDS(B46,"FE_VALUATION(PE,MEAN,ANN,+1,NOW,,,'')")</f>
        <v>13.666978</v>
      </c>
      <c r="AC19" s="201">
        <f t="array" ref="AC19">_xll.FDS(B46,"FE_VALUATION(PE,MEAN,ANN,+2,NOW,,,'')")</f>
        <v>12.328158</v>
      </c>
    </row>
    <row r="20" spans="1:29" ht="15.75" customHeight="1" x14ac:dyDescent="0.25">
      <c r="A20" s="181">
        <f t="shared" ref="A20:A22" si="11">A19+1</f>
        <v>8</v>
      </c>
      <c r="B20" s="202" t="str">
        <f t="shared" si="0"/>
        <v>KEMIRA-FI</v>
      </c>
      <c r="C20" s="184" t="str">
        <f t="shared" si="1"/>
        <v>Kemira Oyj</v>
      </c>
      <c r="D20" s="199">
        <f t="shared" si="2"/>
        <v>22.547450000000001</v>
      </c>
      <c r="E20" s="199">
        <f t="shared" si="2"/>
        <v>154.06830400000001</v>
      </c>
      <c r="F20" s="199">
        <f t="shared" si="2"/>
        <v>3473.8473810248006</v>
      </c>
      <c r="G20" s="199">
        <f t="shared" si="2"/>
        <v>3842.3473810248011</v>
      </c>
      <c r="I20" s="199">
        <f t="shared" si="3"/>
        <v>3161.0898995399498</v>
      </c>
      <c r="J20" s="199">
        <f t="shared" si="3"/>
        <v>3751.5581077575698</v>
      </c>
      <c r="K20" s="199">
        <f t="shared" si="3"/>
        <v>3658.1708673834801</v>
      </c>
      <c r="L20" s="199">
        <f t="shared" si="3"/>
        <v>570.78417999999999</v>
      </c>
      <c r="M20" s="199">
        <f t="shared" si="3"/>
        <v>676.56214999999997</v>
      </c>
      <c r="N20" s="199">
        <f t="shared" si="10"/>
        <v>243.51076130867</v>
      </c>
      <c r="O20" s="199">
        <f t="shared" si="9"/>
        <v>215.25011664629</v>
      </c>
      <c r="P20" s="207"/>
      <c r="Q20" s="200">
        <f t="shared" ref="Q20:R20" si="12">J20/I20-1</f>
        <v>0.18679260222986827</v>
      </c>
      <c r="R20" s="200">
        <f t="shared" si="12"/>
        <v>-2.4892921205453611E-2</v>
      </c>
      <c r="S20" s="200">
        <f t="shared" ref="S20:T20" si="13">L20/J20</f>
        <v>0.15214589874530199</v>
      </c>
      <c r="T20" s="200">
        <f t="shared" si="13"/>
        <v>0.18494547535553293</v>
      </c>
      <c r="U20" s="200">
        <f t="shared" ref="U20:V20" si="14">N20/J20</f>
        <v>6.4909233527566071E-2</v>
      </c>
      <c r="V20" s="200">
        <f t="shared" si="14"/>
        <v>5.884091379259395E-2</v>
      </c>
      <c r="W20" s="207"/>
      <c r="X20" s="201">
        <f t="array" ref="X20">_xll.FDS(B47,"FE_VALUATION(FFEV_SALES,MEAN,ANN,+1,NOW,,,'')")</f>
        <v>1.2281713000000001</v>
      </c>
      <c r="Y20" s="201">
        <f t="array" ref="Y20">_xll.FDS(B47,"FE_VALUATION(FFEV_SALES,MEAN,ANN,+2,NOW,,,'')")</f>
        <v>1.2159192999999999</v>
      </c>
      <c r="Z20" s="201">
        <f t="array" ref="Z20">_xll.FDS(B47,"FE_VALUATION(FFEV_EBITDA,MEAN,ANN,+1,NOW,,,'')")</f>
        <v>6.1609569999999998</v>
      </c>
      <c r="AA20" s="201">
        <f t="array" ref="AA20">_xll.FDS(B47,"FE_VALUATION(FFEV_EBITDA,MEAN,ANN,+2,NOW,,,'')")</f>
        <v>6.3008160000000002</v>
      </c>
      <c r="AB20" s="201">
        <f t="array" ref="AB20">_xll.FDS(B47,"FE_VALUATION(PE,MEAN,ANN,+1,NOW,,,'')")</f>
        <v>11.392082</v>
      </c>
      <c r="AC20" s="201">
        <f t="array" ref="AC20">_xll.FDS(B47,"FE_VALUATION(PE,MEAN,ANN,+2,NOW,,,'')")</f>
        <v>12.035902</v>
      </c>
    </row>
    <row r="21" spans="1:29" ht="15.75" customHeight="1" x14ac:dyDescent="0.25">
      <c r="A21" s="181">
        <f t="shared" si="11"/>
        <v>9</v>
      </c>
      <c r="B21" s="202"/>
      <c r="D21" s="199"/>
      <c r="E21" s="199"/>
      <c r="F21" s="199"/>
      <c r="G21" s="199"/>
      <c r="I21" s="199"/>
      <c r="J21" s="199"/>
      <c r="K21" s="199"/>
      <c r="L21" s="199"/>
      <c r="M21" s="199"/>
      <c r="N21" s="199"/>
      <c r="O21" s="199"/>
      <c r="P21" s="207"/>
      <c r="Q21" s="200"/>
      <c r="R21" s="200"/>
      <c r="S21" s="200"/>
      <c r="T21" s="200"/>
      <c r="U21" s="208"/>
      <c r="V21" s="208"/>
      <c r="W21" s="207"/>
      <c r="X21" s="209"/>
      <c r="Y21" s="209"/>
      <c r="Z21" s="209"/>
      <c r="AA21" s="209"/>
      <c r="AB21" s="209"/>
      <c r="AC21" s="209"/>
    </row>
    <row r="22" spans="1:29" ht="15.75" customHeight="1" x14ac:dyDescent="0.25">
      <c r="A22" s="181">
        <f t="shared" si="11"/>
        <v>10</v>
      </c>
      <c r="B22" s="202"/>
      <c r="D22" s="199"/>
      <c r="E22" s="199"/>
      <c r="F22" s="199"/>
      <c r="G22" s="199"/>
      <c r="I22" s="199"/>
      <c r="J22" s="199"/>
      <c r="K22" s="199"/>
      <c r="L22" s="199"/>
      <c r="M22" s="199"/>
      <c r="N22" s="199"/>
      <c r="O22" s="199"/>
      <c r="P22" s="207"/>
      <c r="Q22" s="200"/>
      <c r="R22" s="200"/>
      <c r="S22" s="200"/>
      <c r="T22" s="200"/>
      <c r="U22" s="208"/>
      <c r="V22" s="208"/>
      <c r="W22" s="207"/>
      <c r="X22" s="209"/>
      <c r="Y22" s="209"/>
      <c r="Z22" s="209"/>
      <c r="AA22" s="209"/>
      <c r="AB22" s="209"/>
      <c r="AC22" s="209"/>
    </row>
    <row r="23" spans="1:29" ht="5.25" customHeight="1" x14ac:dyDescent="0.25">
      <c r="B23" s="202"/>
      <c r="D23" s="181"/>
      <c r="E23" s="181"/>
      <c r="F23" s="205"/>
      <c r="G23" s="205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</row>
    <row r="24" spans="1:29" outlineLevel="1" x14ac:dyDescent="0.25">
      <c r="B24" s="210" t="s">
        <v>145</v>
      </c>
      <c r="C24" s="211"/>
      <c r="D24" s="211"/>
      <c r="E24" s="211"/>
      <c r="F24" s="211"/>
      <c r="G24" s="211"/>
      <c r="H24" s="212"/>
      <c r="I24" s="212"/>
      <c r="J24" s="212"/>
      <c r="K24" s="212"/>
      <c r="L24" s="212"/>
      <c r="M24" s="212"/>
      <c r="N24" s="212"/>
      <c r="O24" s="212"/>
      <c r="P24" s="212"/>
      <c r="Q24" s="212">
        <f>AVERAGE(Q13:Q22)</f>
        <v>0.10324026745216684</v>
      </c>
      <c r="R24" s="212">
        <f t="shared" ref="R24:V24" si="15">AVERAGE(R13:R22)</f>
        <v>4.9986831491124428E-2</v>
      </c>
      <c r="S24" s="212">
        <f t="shared" si="15"/>
        <v>0.19183151895058262</v>
      </c>
      <c r="T24" s="212">
        <f t="shared" si="15"/>
        <v>0.19873497289813927</v>
      </c>
      <c r="U24" s="212">
        <f t="shared" si="15"/>
        <v>7.6342442161301427E-2</v>
      </c>
      <c r="V24" s="212">
        <f t="shared" si="15"/>
        <v>7.8427884799830871E-2</v>
      </c>
      <c r="W24" s="212"/>
      <c r="X24" s="213">
        <f t="shared" ref="X24:AA24" si="16">AVERAGE(X13:X22)</f>
        <v>3.0064184249999997</v>
      </c>
      <c r="Y24" s="213">
        <f t="shared" si="16"/>
        <v>2.88756835</v>
      </c>
      <c r="Z24" s="213">
        <f t="shared" si="16"/>
        <v>13.442610812499998</v>
      </c>
      <c r="AA24" s="213">
        <f t="shared" si="16"/>
        <v>12.561108375</v>
      </c>
      <c r="AB24" s="213">
        <f>AVERAGE(AB13:AB22)</f>
        <v>20.37940025</v>
      </c>
      <c r="AC24" s="213">
        <f>AVERAGE(AC13:AC22)</f>
        <v>18.589851374999999</v>
      </c>
    </row>
    <row r="25" spans="1:29" outlineLevel="1" x14ac:dyDescent="0.25">
      <c r="B25" s="214" t="s">
        <v>146</v>
      </c>
      <c r="C25" s="215"/>
      <c r="D25" s="215"/>
      <c r="E25" s="215"/>
      <c r="F25" s="215"/>
      <c r="G25" s="215"/>
      <c r="H25" s="216"/>
      <c r="I25" s="216"/>
      <c r="J25" s="216"/>
      <c r="K25" s="216"/>
      <c r="L25" s="216"/>
      <c r="M25" s="216"/>
      <c r="N25" s="216"/>
      <c r="O25" s="216"/>
      <c r="P25" s="216"/>
      <c r="Q25" s="216">
        <f>MEDIAN(Q13:Q22)</f>
        <v>7.0895293878681875E-2</v>
      </c>
      <c r="R25" s="216">
        <f t="shared" ref="R25:V25" si="17">MEDIAN(R13:R22)</f>
        <v>-6.2096271111073409E-3</v>
      </c>
      <c r="S25" s="216">
        <f t="shared" si="17"/>
        <v>0.17657692335344194</v>
      </c>
      <c r="T25" s="216">
        <f t="shared" si="17"/>
        <v>0.19601926822587107</v>
      </c>
      <c r="U25" s="216">
        <f t="shared" si="17"/>
        <v>7.132686075241329E-2</v>
      </c>
      <c r="V25" s="216">
        <f t="shared" si="17"/>
        <v>7.0753428255059023E-2</v>
      </c>
      <c r="W25" s="216"/>
      <c r="X25" s="217">
        <f t="shared" ref="X25:AC25" si="18">MEDIAN(X13:X22)</f>
        <v>3.2170664000000002</v>
      </c>
      <c r="Y25" s="217">
        <f t="shared" si="18"/>
        <v>3.11712145</v>
      </c>
      <c r="Z25" s="217">
        <f t="shared" si="18"/>
        <v>15.0123605</v>
      </c>
      <c r="AA25" s="217">
        <f t="shared" si="18"/>
        <v>14.163912</v>
      </c>
      <c r="AB25" s="217">
        <f t="shared" si="18"/>
        <v>20.283966999999997</v>
      </c>
      <c r="AC25" s="217">
        <f t="shared" si="18"/>
        <v>18.059296500000002</v>
      </c>
    </row>
    <row r="26" spans="1:29" ht="15.75" customHeight="1" outlineLevel="1" x14ac:dyDescent="0.25">
      <c r="B26" s="194"/>
      <c r="C26" s="194"/>
      <c r="D26" s="195"/>
      <c r="E26" s="195"/>
      <c r="F26" s="195"/>
      <c r="G26" s="195"/>
      <c r="I26" s="195"/>
      <c r="J26" s="195"/>
      <c r="K26" s="195"/>
      <c r="L26" s="195"/>
      <c r="M26" s="195"/>
      <c r="N26" s="195"/>
      <c r="O26" s="195"/>
      <c r="P26" s="195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</row>
    <row r="27" spans="1:29" ht="15.75" customHeight="1" outlineLevel="1" x14ac:dyDescent="0.25">
      <c r="A27" s="218"/>
      <c r="B27" s="187"/>
      <c r="C27" s="187"/>
      <c r="D27" s="190" t="s">
        <v>147</v>
      </c>
      <c r="E27" s="190"/>
      <c r="F27" s="190"/>
      <c r="G27" s="189"/>
      <c r="H27" s="190" t="s">
        <v>148</v>
      </c>
      <c r="I27" s="190"/>
      <c r="J27" s="190"/>
      <c r="K27" s="189"/>
      <c r="L27" s="190" t="s">
        <v>78</v>
      </c>
      <c r="M27" s="190"/>
      <c r="N27" s="190"/>
      <c r="O27" s="189"/>
      <c r="P27" s="189"/>
      <c r="Q27" s="190"/>
      <c r="R27" s="190"/>
      <c r="S27" s="190"/>
      <c r="T27" s="190" t="s">
        <v>79</v>
      </c>
      <c r="U27" s="190"/>
      <c r="V27" s="190"/>
      <c r="W27" s="189"/>
      <c r="X27" s="190" t="s">
        <v>149</v>
      </c>
      <c r="Y27" s="190"/>
      <c r="Z27" s="190"/>
      <c r="AA27" s="189"/>
      <c r="AB27" s="189"/>
      <c r="AC27" s="189"/>
    </row>
    <row r="28" spans="1:29" ht="15.75" customHeight="1" outlineLevel="1" x14ac:dyDescent="0.25">
      <c r="B28" s="191" t="s">
        <v>150</v>
      </c>
      <c r="C28" s="191"/>
      <c r="D28" s="192" t="s">
        <v>75</v>
      </c>
      <c r="E28" s="192" t="s">
        <v>70</v>
      </c>
      <c r="F28" s="192" t="s">
        <v>83</v>
      </c>
      <c r="G28" s="192"/>
      <c r="H28" s="192" t="s">
        <v>75</v>
      </c>
      <c r="I28" s="192" t="s">
        <v>70</v>
      </c>
      <c r="J28" s="192" t="s">
        <v>151</v>
      </c>
      <c r="K28" s="192"/>
      <c r="L28" s="192" t="s">
        <v>75</v>
      </c>
      <c r="M28" s="192" t="s">
        <v>70</v>
      </c>
      <c r="N28" s="192" t="s">
        <v>125</v>
      </c>
      <c r="O28" s="192"/>
      <c r="P28" s="192" t="s">
        <v>98</v>
      </c>
      <c r="Q28" s="192" t="s">
        <v>152</v>
      </c>
      <c r="R28" s="192" t="s">
        <v>153</v>
      </c>
      <c r="S28" s="192"/>
      <c r="T28" s="192" t="s">
        <v>75</v>
      </c>
      <c r="U28" s="192" t="s">
        <v>70</v>
      </c>
      <c r="V28" s="192" t="s">
        <v>125</v>
      </c>
      <c r="W28" s="192"/>
      <c r="X28" s="192" t="s">
        <v>75</v>
      </c>
      <c r="Y28" s="192" t="s">
        <v>70</v>
      </c>
      <c r="Z28" s="192" t="s">
        <v>125</v>
      </c>
      <c r="AA28" s="192"/>
      <c r="AB28" s="192"/>
      <c r="AC28" s="192"/>
    </row>
    <row r="29" spans="1:29" ht="15.75" customHeight="1" outlineLevel="1" x14ac:dyDescent="0.25">
      <c r="B29" s="194" t="s">
        <v>154</v>
      </c>
      <c r="C29" s="194"/>
      <c r="D29" s="219">
        <f>MIN(X13:X22)</f>
        <v>1.0628968000000001</v>
      </c>
      <c r="E29" s="219">
        <f>MIN(Z13:Z22)</f>
        <v>6.1609569999999998</v>
      </c>
      <c r="F29" s="219">
        <f>MIN(AB13:AB22)</f>
        <v>11.392082</v>
      </c>
      <c r="G29" s="195"/>
      <c r="H29" s="205">
        <f>K11</f>
        <v>15320.2</v>
      </c>
      <c r="I29" s="205">
        <f>M11</f>
        <v>3084.3</v>
      </c>
      <c r="J29" s="220">
        <f>_xll.FDS(B39,"FF_EPS(ANN_R,NOW,,,,USD)")</f>
        <v>4.7899000000000003</v>
      </c>
      <c r="L29" s="205">
        <f>H29*D29</f>
        <v>16283.791555360001</v>
      </c>
      <c r="M29" s="205">
        <f t="shared" ref="L29:M32" si="19">I29*E29</f>
        <v>19002.239675100001</v>
      </c>
      <c r="N29" s="205" t="s">
        <v>76</v>
      </c>
      <c r="P29" s="221">
        <f t="array" ref="P29">_xll.FDS(B39,"FF_CASH_ST(QTR_R,0)")</f>
        <v>384</v>
      </c>
      <c r="Q29" s="221">
        <f t="array" ref="Q29">_xll.FDS(B39,"FF_DEBT(QTR_R,0)")</f>
        <v>8115.3</v>
      </c>
      <c r="R29" s="222">
        <f t="array" ref="R29">_xll.FDS(B39,"FREF_SHARES_COMPANY(0,,,,0,""LEGACY"")")</f>
        <v>284.53762817382801</v>
      </c>
      <c r="S29" s="223"/>
      <c r="T29" s="224">
        <f>L29+P29-Q29</f>
        <v>8552.491555360004</v>
      </c>
      <c r="U29" s="224">
        <f>M29+P29-Q29</f>
        <v>11270.939675100002</v>
      </c>
      <c r="V29" s="224">
        <f>F29*J29*R29</f>
        <v>15526.345855238804</v>
      </c>
      <c r="W29" s="196"/>
      <c r="X29" s="225">
        <f t="shared" ref="X29:Z32" si="20">T29/$R29</f>
        <v>30.057506313840388</v>
      </c>
      <c r="Y29" s="225">
        <f t="shared" si="20"/>
        <v>39.611420631560293</v>
      </c>
      <c r="Z29" s="225">
        <f>V29/$R29</f>
        <v>54.566933571800007</v>
      </c>
      <c r="AB29" s="196"/>
      <c r="AC29" s="196"/>
    </row>
    <row r="30" spans="1:29" ht="15.75" customHeight="1" outlineLevel="1" x14ac:dyDescent="0.25">
      <c r="B30" s="194" t="s">
        <v>145</v>
      </c>
      <c r="C30" s="194"/>
      <c r="D30" s="219">
        <f>X24</f>
        <v>3.0064184249999997</v>
      </c>
      <c r="E30" s="219">
        <f>Z24</f>
        <v>13.442610812499998</v>
      </c>
      <c r="F30" s="219">
        <f>AB24</f>
        <v>20.37940025</v>
      </c>
      <c r="G30" s="195"/>
      <c r="H30" s="204">
        <f t="shared" ref="H30:J32" si="21">H29</f>
        <v>15320.2</v>
      </c>
      <c r="I30" s="204">
        <f t="shared" si="21"/>
        <v>3084.3</v>
      </c>
      <c r="J30" s="220">
        <f>J29</f>
        <v>4.7899000000000003</v>
      </c>
      <c r="K30" s="205"/>
      <c r="L30" s="205">
        <f>H30*D30</f>
        <v>46058.931554684998</v>
      </c>
      <c r="M30" s="205">
        <f t="shared" si="19"/>
        <v>41461.044528993749</v>
      </c>
      <c r="N30" s="205" t="s">
        <v>76</v>
      </c>
      <c r="P30" s="221">
        <f>P29</f>
        <v>384</v>
      </c>
      <c r="Q30" s="221">
        <f t="shared" ref="P30:R32" si="22">Q29</f>
        <v>8115.3</v>
      </c>
      <c r="R30" s="221">
        <f>R29</f>
        <v>284.53762817382801</v>
      </c>
      <c r="T30" s="224">
        <f>L30+P30-Q30</f>
        <v>38327.631554684995</v>
      </c>
      <c r="U30" s="224">
        <f>M30+P30-Q30</f>
        <v>33729.744528993746</v>
      </c>
      <c r="V30" s="224">
        <f>F30*J30*R30</f>
        <v>27775.22287882409</v>
      </c>
      <c r="W30" s="196"/>
      <c r="X30" s="225">
        <f>T30/$R30</f>
        <v>134.70145161704275</v>
      </c>
      <c r="Y30" s="225">
        <f t="shared" si="20"/>
        <v>118.54229876544755</v>
      </c>
      <c r="Z30" s="225">
        <f t="shared" si="20"/>
        <v>97.615289257474998</v>
      </c>
      <c r="AA30" s="196"/>
      <c r="AB30" s="196"/>
      <c r="AC30" s="196"/>
    </row>
    <row r="31" spans="1:29" ht="15.75" customHeight="1" outlineLevel="1" x14ac:dyDescent="0.25">
      <c r="B31" s="194" t="s">
        <v>146</v>
      </c>
      <c r="C31" s="194"/>
      <c r="D31" s="219">
        <f>X25</f>
        <v>3.2170664000000002</v>
      </c>
      <c r="E31" s="219">
        <f>Z25</f>
        <v>15.0123605</v>
      </c>
      <c r="F31" s="219">
        <f>AB25</f>
        <v>20.283966999999997</v>
      </c>
      <c r="G31" s="195"/>
      <c r="H31" s="204">
        <f t="shared" si="21"/>
        <v>15320.2</v>
      </c>
      <c r="I31" s="204">
        <f>I30</f>
        <v>3084.3</v>
      </c>
      <c r="J31" s="220">
        <f t="shared" si="21"/>
        <v>4.7899000000000003</v>
      </c>
      <c r="K31" s="205"/>
      <c r="L31" s="205">
        <f t="shared" si="19"/>
        <v>49286.100661280005</v>
      </c>
      <c r="M31" s="205">
        <f t="shared" si="19"/>
        <v>46302.623490149999</v>
      </c>
      <c r="N31" s="205" t="s">
        <v>76</v>
      </c>
      <c r="P31" s="221">
        <f t="shared" si="22"/>
        <v>384</v>
      </c>
      <c r="Q31" s="221">
        <f t="shared" si="22"/>
        <v>8115.3</v>
      </c>
      <c r="R31" s="221">
        <f t="shared" si="22"/>
        <v>284.53762817382801</v>
      </c>
      <c r="T31" s="224">
        <f>L31+P31-Q31</f>
        <v>41554.800661280002</v>
      </c>
      <c r="U31" s="224">
        <f>M31+P31-Q31</f>
        <v>38571.323490149996</v>
      </c>
      <c r="V31" s="224">
        <f>F31*J31*R31</f>
        <v>27645.156254866368</v>
      </c>
      <c r="W31" s="196"/>
      <c r="X31" s="225">
        <f t="shared" si="20"/>
        <v>146.04325244425527</v>
      </c>
      <c r="Y31" s="225">
        <f>U31/$R31</f>
        <v>135.55790050582075</v>
      </c>
      <c r="Z31" s="225">
        <f t="shared" si="20"/>
        <v>97.158173533299987</v>
      </c>
      <c r="AA31" s="196"/>
      <c r="AB31" s="196"/>
      <c r="AC31" s="196"/>
    </row>
    <row r="32" spans="1:29" ht="15.75" customHeight="1" outlineLevel="1" x14ac:dyDescent="0.25">
      <c r="B32" s="194" t="s">
        <v>155</v>
      </c>
      <c r="C32" s="194"/>
      <c r="D32" s="219">
        <f>MAX(X13:X22)</f>
        <v>4.6062859999999999</v>
      </c>
      <c r="E32" s="219">
        <f>MAX(Z13:Z22)</f>
        <v>19.079301999999998</v>
      </c>
      <c r="F32" s="219">
        <f>MAX(AB13:AB22)</f>
        <v>30.942018999999998</v>
      </c>
      <c r="G32" s="195"/>
      <c r="H32" s="204">
        <f t="shared" si="21"/>
        <v>15320.2</v>
      </c>
      <c r="I32" s="204">
        <f t="shared" si="21"/>
        <v>3084.3</v>
      </c>
      <c r="J32" s="220">
        <f t="shared" si="21"/>
        <v>4.7899000000000003</v>
      </c>
      <c r="K32" s="205"/>
      <c r="L32" s="205">
        <f t="shared" si="19"/>
        <v>70569.222777200004</v>
      </c>
      <c r="M32" s="205">
        <f t="shared" si="19"/>
        <v>58846.291158599997</v>
      </c>
      <c r="N32" s="205" t="s">
        <v>76</v>
      </c>
      <c r="P32" s="221">
        <f t="shared" si="22"/>
        <v>384</v>
      </c>
      <c r="Q32" s="221">
        <f t="shared" si="22"/>
        <v>8115.3</v>
      </c>
      <c r="R32" s="221">
        <f t="shared" si="22"/>
        <v>284.53762817382801</v>
      </c>
      <c r="T32" s="224">
        <f>L32+P32-Q32</f>
        <v>62837.922777200001</v>
      </c>
      <c r="U32" s="224">
        <f>M32+P32-Q32</f>
        <v>51114.991158599994</v>
      </c>
      <c r="V32" s="224">
        <f>F32*J32*R32</f>
        <v>42171.087642572296</v>
      </c>
      <c r="W32" s="196"/>
      <c r="X32" s="225">
        <f t="shared" si="20"/>
        <v>220.84222456093377</v>
      </c>
      <c r="Y32" s="225">
        <f>U32/$R32</f>
        <v>179.64229014860956</v>
      </c>
      <c r="Z32" s="225">
        <f t="shared" si="20"/>
        <v>148.20917680810001</v>
      </c>
      <c r="AA32" s="196"/>
      <c r="AB32" s="196"/>
      <c r="AC32" s="196"/>
    </row>
    <row r="33" spans="1:29" ht="15.75" customHeight="1" outlineLevel="1" x14ac:dyDescent="0.25">
      <c r="B33" s="194"/>
      <c r="C33" s="194"/>
      <c r="D33" s="219"/>
      <c r="E33" s="219"/>
      <c r="F33" s="219"/>
      <c r="G33" s="195"/>
      <c r="H33" s="181"/>
      <c r="I33" s="205"/>
      <c r="J33" s="205"/>
      <c r="K33" s="205"/>
      <c r="L33" s="205"/>
      <c r="M33" s="205"/>
      <c r="N33" s="205"/>
      <c r="P33" s="205"/>
      <c r="Q33" s="205"/>
      <c r="R33" s="226"/>
      <c r="U33" s="196"/>
      <c r="V33" s="196"/>
      <c r="W33" s="196"/>
      <c r="X33" s="196"/>
      <c r="Y33" s="196"/>
      <c r="Z33" s="196"/>
      <c r="AA33" s="196"/>
      <c r="AB33" s="196"/>
      <c r="AC33" s="196"/>
    </row>
    <row r="34" spans="1:29" s="232" customFormat="1" ht="15.75" customHeight="1" outlineLevel="1" x14ac:dyDescent="0.25">
      <c r="A34" s="227"/>
      <c r="B34" s="228" t="s">
        <v>156</v>
      </c>
      <c r="C34" s="228"/>
      <c r="D34" s="229"/>
      <c r="E34" s="229"/>
      <c r="F34" s="229"/>
      <c r="G34" s="230"/>
      <c r="H34" s="227"/>
      <c r="I34" s="231"/>
      <c r="J34" s="231"/>
      <c r="K34" s="231"/>
      <c r="L34" s="231"/>
      <c r="M34" s="231"/>
      <c r="N34" s="231"/>
      <c r="P34" s="231"/>
      <c r="Q34" s="231"/>
      <c r="R34" s="233"/>
      <c r="U34" s="234"/>
      <c r="V34" s="234"/>
      <c r="W34" s="234"/>
      <c r="X34" s="234"/>
      <c r="Y34" s="234"/>
      <c r="Z34" s="234"/>
      <c r="AA34" s="234"/>
      <c r="AB34" s="234"/>
      <c r="AC34" s="234"/>
    </row>
    <row r="35" spans="1:29" ht="15.75" customHeight="1" x14ac:dyDescent="0.25">
      <c r="B35" s="235">
        <v>1</v>
      </c>
      <c r="C35" s="235">
        <f t="shared" ref="C35:O35" si="23">B35+1</f>
        <v>2</v>
      </c>
      <c r="D35" s="236">
        <f t="shared" si="23"/>
        <v>3</v>
      </c>
      <c r="E35" s="236">
        <f t="shared" si="23"/>
        <v>4</v>
      </c>
      <c r="F35" s="236">
        <f t="shared" si="23"/>
        <v>5</v>
      </c>
      <c r="G35" s="236">
        <f t="shared" si="23"/>
        <v>6</v>
      </c>
      <c r="H35" s="235">
        <f t="shared" si="23"/>
        <v>7</v>
      </c>
      <c r="I35" s="235">
        <f t="shared" si="23"/>
        <v>8</v>
      </c>
      <c r="J35" s="236">
        <f t="shared" si="23"/>
        <v>9</v>
      </c>
      <c r="K35" s="236">
        <f t="shared" si="23"/>
        <v>10</v>
      </c>
      <c r="L35" s="236">
        <f t="shared" si="23"/>
        <v>11</v>
      </c>
      <c r="M35" s="236">
        <f t="shared" si="23"/>
        <v>12</v>
      </c>
      <c r="N35" s="235">
        <f t="shared" si="23"/>
        <v>13</v>
      </c>
      <c r="O35" s="235">
        <f t="shared" si="23"/>
        <v>14</v>
      </c>
      <c r="P35" s="195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</row>
    <row r="36" spans="1:29" ht="15.75" customHeight="1" x14ac:dyDescent="0.25">
      <c r="B36" s="187"/>
      <c r="C36" s="188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</row>
    <row r="37" spans="1:29" ht="15.75" customHeight="1" x14ac:dyDescent="0.25">
      <c r="B37" s="187"/>
      <c r="C37" s="187"/>
      <c r="D37" s="189" t="s">
        <v>121</v>
      </c>
      <c r="E37" s="189" t="s">
        <v>122</v>
      </c>
      <c r="F37" s="189" t="s">
        <v>123</v>
      </c>
      <c r="G37" s="189" t="s">
        <v>124</v>
      </c>
      <c r="H37" s="189"/>
      <c r="I37" s="189"/>
      <c r="J37" s="190"/>
      <c r="K37" s="190" t="s">
        <v>75</v>
      </c>
      <c r="L37" s="190"/>
      <c r="M37" s="190"/>
      <c r="N37" s="190" t="s">
        <v>70</v>
      </c>
      <c r="O37" s="190"/>
      <c r="P37" s="190" t="s">
        <v>125</v>
      </c>
      <c r="Q37" s="190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</row>
    <row r="38" spans="1:29" ht="15.75" customHeight="1" x14ac:dyDescent="0.25">
      <c r="B38" s="191" t="s">
        <v>72</v>
      </c>
      <c r="C38" s="191" t="s">
        <v>132</v>
      </c>
      <c r="D38" s="192" t="s">
        <v>86</v>
      </c>
      <c r="E38" s="192" t="s">
        <v>133</v>
      </c>
      <c r="F38" s="192" t="s">
        <v>134</v>
      </c>
      <c r="G38" s="192" t="s">
        <v>135</v>
      </c>
      <c r="H38" s="192" t="s">
        <v>98</v>
      </c>
      <c r="I38" s="192" t="s">
        <v>152</v>
      </c>
      <c r="J38" s="193"/>
      <c r="K38" s="193" t="s">
        <v>136</v>
      </c>
      <c r="L38" s="193" t="s">
        <v>137</v>
      </c>
      <c r="M38" s="193" t="s">
        <v>138</v>
      </c>
      <c r="N38" s="193" t="s">
        <v>139</v>
      </c>
      <c r="O38" s="193" t="s">
        <v>140</v>
      </c>
      <c r="P38" s="193" t="str">
        <f>N38</f>
        <v>'22</v>
      </c>
      <c r="Q38" s="193" t="str">
        <f>O38</f>
        <v>'23</v>
      </c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</row>
    <row r="39" spans="1:29" ht="15.75" customHeight="1" x14ac:dyDescent="0.25">
      <c r="B39" s="202" t="s">
        <v>168</v>
      </c>
      <c r="C39" s="237" t="str">
        <f t="array" ref="C39">_xll.FDS(B39,"FG_COMPANY_NAME")</f>
        <v>Ecolab Inc.</v>
      </c>
      <c r="D39" s="238">
        <f t="array" ref="D39">_xll.FDS(B39,"FG_PRICE(0,,,USD)")</f>
        <v>241.33</v>
      </c>
      <c r="E39" s="205">
        <f t="array" ref="E39">_xll.FDS(B39,"FCS_SHARES(TOT,SHS,ANN,0,,,,,M)")</f>
        <v>287.88521800000001</v>
      </c>
      <c r="F39" s="205">
        <f t="shared" ref="F39:F47" si="24">D39*E39</f>
        <v>69475.33965994</v>
      </c>
      <c r="G39" s="205">
        <f t="shared" ref="G39:G47" si="25">F39+I39-H39</f>
        <v>77206.639659940003</v>
      </c>
      <c r="H39" s="184">
        <f t="array" ref="H39">_xll.FDS(B39,"FF_CASH_ST(QTR_R,0)")</f>
        <v>384</v>
      </c>
      <c r="I39" s="184">
        <f t="array" ref="I39">_xll.FDS(B39,"FF_DEBT(QTR_R,0)")</f>
        <v>8115.3</v>
      </c>
      <c r="K39" s="205">
        <f t="array" ref="K39">_xll.FDS(B39,"FF_SALES(ANN_R,-2AY,,,,USD)")</f>
        <v>12733.1</v>
      </c>
      <c r="L39" s="205">
        <f t="array" ref="L39">_xll.FDS(B39,"FF_SALES(ANN_R,-1AY,,,,USD)")</f>
        <v>14187.8</v>
      </c>
      <c r="M39" s="205">
        <f t="array" ref="M39">_xll.FDS(B39,"FF_SALES(ANN_R,0Y,,,,USD)")</f>
        <v>15320.2</v>
      </c>
      <c r="N39" s="205">
        <f t="array" ref="N39">_xll.FDS(B39,"FF_EBITDA_OPER(ANN_R,-1AY,,,,USD)")</f>
        <v>2548.1999999999998</v>
      </c>
      <c r="O39" s="205">
        <f t="array" ref="O39">_xll.FDS(B39,"FF_EBITDA_OPER(ANN_R,0Y,,,,USD)")</f>
        <v>3084.3</v>
      </c>
      <c r="P39" s="205">
        <f t="array" ref="P39">_xll.FDS(B39,"FF_NET_INC(ANN_R,-1AY,,,,USD)")</f>
        <v>1091.7</v>
      </c>
      <c r="Q39" s="205">
        <f t="array" ref="Q39">_xll.FDS(B39,"FF_NET_INC(ANN_R,0Y,,,,USD)")</f>
        <v>1372.3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</row>
    <row r="40" spans="1:29" ht="15.75" customHeight="1" x14ac:dyDescent="0.25">
      <c r="B40" s="202" t="s">
        <v>169</v>
      </c>
      <c r="C40" s="237" t="str">
        <f t="array" ref="C40">_xll.FDS(B40,"FG_COMPANY_NAME")</f>
        <v>DuPont de Nemours, Inc.</v>
      </c>
      <c r="D40" s="238">
        <f t="array" ref="D40">_xll.FDS(B40,"FG_PRICE(0,,,USD)")</f>
        <v>78.83</v>
      </c>
      <c r="E40" s="205">
        <f t="array" ref="E40">_xll.FDS(B40,"FCS_SHARES(TOT,SHS,ANN,0,,,,,M)")</f>
        <v>432.72320400000001</v>
      </c>
      <c r="F40" s="205">
        <f t="shared" si="24"/>
        <v>34111.570171320003</v>
      </c>
      <c r="G40" s="205">
        <f t="shared" si="25"/>
        <v>40219.570171320003</v>
      </c>
      <c r="H40" s="184">
        <f t="array" ref="H40">_xll.FDS(B40,"FF_CASH_ST(QTR_R,0)")</f>
        <v>1509</v>
      </c>
      <c r="I40" s="184">
        <f t="array" ref="I40">_xll.FDS(B40,"FF_DEBT(QTR_R,0)")</f>
        <v>7617</v>
      </c>
      <c r="K40" s="205">
        <f t="array" ref="K40">_xll.FDS(B40,"FF_SALES(ANN_R,-2AY,,,,USD)")</f>
        <v>12566</v>
      </c>
      <c r="L40" s="205">
        <f t="array" ref="L40">_xll.FDS(B40,"FF_SALES(ANN_R,-1AY,,,,USD)")</f>
        <v>13017</v>
      </c>
      <c r="M40" s="205">
        <f t="array" ref="M40">_xll.FDS(B40,"FF_SALES(ANN_R,0Y,,,,USD)")</f>
        <v>12068</v>
      </c>
      <c r="N40" s="205">
        <f t="array" ref="N40">_xll.FDS(B40,"FF_EBITDA_OPER(ANN_R,-1AY,,,,USD)")</f>
        <v>3157</v>
      </c>
      <c r="O40" s="205">
        <f t="array" ref="O40">_xll.FDS(B40,"FF_EBITDA_OPER(ANN_R,0Y,,,,USD)")</f>
        <v>2864</v>
      </c>
      <c r="P40" s="205">
        <f t="array" ref="P40">_xll.FDS(B40,"FF_NET_INC(ANN_R,-1AY,,,,USD)")</f>
        <v>1012</v>
      </c>
      <c r="Q40" s="205">
        <f t="array" ref="Q40">_xll.FDS(B40,"FF_NET_INC(ANN_R,0Y,,,,USD)")</f>
        <v>494</v>
      </c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</row>
    <row r="41" spans="1:29" ht="15.75" customHeight="1" x14ac:dyDescent="0.25">
      <c r="B41" s="202" t="s">
        <v>170</v>
      </c>
      <c r="C41" s="237" t="str">
        <f t="array" ref="C41">_xll.FDS(B41,"FG_COMPANY_NAME")</f>
        <v>Xylem Inc.</v>
      </c>
      <c r="D41" s="238">
        <f t="array" ref="D41">_xll.FDS(B41,"FG_PRICE(0,,,USD)")</f>
        <v>131.71</v>
      </c>
      <c r="E41" s="205">
        <f t="array" ref="E41">_xll.FDS(B41,"FCS_SHARES(TOT,SHS,ANN,0,,,,,M)")</f>
        <v>243.67238900000001</v>
      </c>
      <c r="F41" s="205">
        <f t="shared" si="24"/>
        <v>32094.090355190005</v>
      </c>
      <c r="G41" s="205">
        <f t="shared" si="25"/>
        <v>33383.090355190005</v>
      </c>
      <c r="H41" s="184">
        <f t="array" ref="H41">_xll.FDS(B41,"FF_CASH_ST(QTR_R,0)")</f>
        <v>815</v>
      </c>
      <c r="I41" s="184">
        <f t="array" ref="I41">_xll.FDS(B41,"FF_DEBT(QTR_R,0)")</f>
        <v>2104</v>
      </c>
      <c r="K41" s="205">
        <f t="array" ref="K41">_xll.FDS(B41,"FF_SALES(ANN_R,-2AY,,,,USD)")</f>
        <v>5199</v>
      </c>
      <c r="L41" s="205">
        <f t="array" ref="L41">_xll.FDS(B41,"FF_SALES(ANN_R,-1AY,,,,USD)")</f>
        <v>5541</v>
      </c>
      <c r="M41" s="205">
        <f t="array" ref="M41">_xll.FDS(B41,"FF_SALES(ANN_R,0Y,,,,USD)")</f>
        <v>7367</v>
      </c>
      <c r="N41" s="205">
        <f t="array" ref="N41">_xll.FDS(B41,"FF_EBITDA_OPER(ANN_R,-1AY,,,,USD)")</f>
        <v>901</v>
      </c>
      <c r="O41" s="205">
        <f t="array" ref="O41">_xll.FDS(B41,"FF_EBITDA_OPER(ANN_R,0Y,,,,USD)")</f>
        <v>1171</v>
      </c>
      <c r="P41" s="205">
        <f t="array" ref="P41">_xll.FDS(B41,"FF_NET_INC(ANN_R,-1AY,,,,USD)")</f>
        <v>355</v>
      </c>
      <c r="Q41" s="205">
        <f t="array" ref="Q41">_xll.FDS(B41,"FF_NET_INC(ANN_R,0Y,,,,USD)")</f>
        <v>609</v>
      </c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 spans="1:29" ht="15.75" customHeight="1" x14ac:dyDescent="0.25">
      <c r="B42" s="202" t="s">
        <v>171</v>
      </c>
      <c r="C42" s="237" t="str">
        <f t="array" ref="C42">_xll.FDS(B42,"FG_COMPANY_NAME")</f>
        <v>Dover Corporation</v>
      </c>
      <c r="D42" s="238">
        <f t="array" ref="D42">_xll.FDS(B42,"FG_PRICE(0,,,USD)")</f>
        <v>176.65</v>
      </c>
      <c r="E42" s="205">
        <f t="array" ref="E42">_xll.FDS(B42,"FCS_SHARES(TOT,SHS,ANN,0,,,,,M)")</f>
        <v>140.818815</v>
      </c>
      <c r="F42" s="205">
        <f t="shared" si="24"/>
        <v>24875.643669749999</v>
      </c>
      <c r="G42" s="205">
        <f t="shared" si="25"/>
        <v>27718.276669749997</v>
      </c>
      <c r="H42" s="184">
        <f t="array" ref="H42">_xll.FDS(B42,"FF_CASH_ST(QTR_R,0)")</f>
        <v>328.75200000000001</v>
      </c>
      <c r="I42" s="184">
        <f t="array" ref="I42">_xll.FDS(B42,"FF_DEBT(QTR_R,0)")</f>
        <v>3171.3850000000002</v>
      </c>
      <c r="K42" s="205">
        <f t="array" ref="K42">_xll.FDS(B42,"FF_SALES(ANN_R,-2AY,,,,USD)")</f>
        <v>7907.0810000000001</v>
      </c>
      <c r="L42" s="205">
        <f t="array" ref="L42">_xll.FDS(B42,"FF_SALES(ANN_R,-1AY,,,,USD)")</f>
        <v>8508.0879999999997</v>
      </c>
      <c r="M42" s="205">
        <f t="array" ref="M42">_xll.FDS(B42,"FF_SALES(ANN_R,0Y,,,,USD)")</f>
        <v>8438.134</v>
      </c>
      <c r="N42" s="205">
        <f t="array" ref="N42">_xll.FDS(B42,"FF_EBITDA_OPER(ANN_R,-1AY,,,,USD)")</f>
        <v>1725.8579999999999</v>
      </c>
      <c r="O42" s="205">
        <f t="array" ref="O42">_xll.FDS(B42,"FF_EBITDA_OPER(ANN_R,0Y,,,,USD)")</f>
        <v>1747.479</v>
      </c>
      <c r="P42" s="205">
        <f t="array" ref="P42">_xll.FDS(B42,"FF_NET_INC(ANN_R,-1AY,,,,USD)")</f>
        <v>1065.376</v>
      </c>
      <c r="Q42" s="205">
        <f t="array" ref="Q42">_xll.FDS(B42,"FF_NET_INC(ANN_R,0Y,,,,USD)")</f>
        <v>1056.828</v>
      </c>
      <c r="R42" s="196"/>
      <c r="S42" s="196"/>
      <c r="T42" s="196"/>
      <c r="U42" s="196"/>
      <c r="V42" s="239"/>
      <c r="W42" s="196"/>
      <c r="X42" s="196"/>
      <c r="Y42" s="196"/>
      <c r="Z42" s="196"/>
      <c r="AA42" s="196"/>
      <c r="AB42" s="196"/>
      <c r="AC42" s="196"/>
    </row>
    <row r="43" spans="1:29" ht="15.75" customHeight="1" x14ac:dyDescent="0.25">
      <c r="B43" s="202" t="s">
        <v>173</v>
      </c>
      <c r="C43" s="237" t="str">
        <f t="array" ref="C43">_xll.FDS(B43,"FG_COMPANY_NAME")</f>
        <v>Clorox Company</v>
      </c>
      <c r="D43" s="238">
        <f t="array" ref="D43">_xll.FDS(B43,"FG_PRICE(0,,,USD)")</f>
        <v>143.63</v>
      </c>
      <c r="E43" s="205">
        <f t="array" ref="E43">_xll.FDS(B43,"FCS_SHARES(TOT,SHS,ANN,0,,,,,M)")</f>
        <v>125.53280700000001</v>
      </c>
      <c r="F43" s="205">
        <f t="shared" si="24"/>
        <v>18030.27706941</v>
      </c>
      <c r="G43" s="205">
        <f t="shared" si="25"/>
        <v>21275.27706941</v>
      </c>
      <c r="H43" s="184">
        <f t="array" ref="H43">_xll.FDS(B43,"FF_CASH_ST(QTR_R,0)")</f>
        <v>202</v>
      </c>
      <c r="I43" s="184">
        <f t="array" ref="I43">_xll.FDS(B43,"FF_DEBT(QTR_R,0)")</f>
        <v>3447</v>
      </c>
      <c r="K43" s="205">
        <f t="array" ref="K43">_xll.FDS(B43,"FF_SALES(ANN_R,-2AY,,,,USD)")</f>
        <v>7107</v>
      </c>
      <c r="L43" s="205">
        <f t="array" ref="L43">_xll.FDS(B43,"FF_SALES(ANN_R,-1AY,,,,USD)")</f>
        <v>7389</v>
      </c>
      <c r="M43" s="205">
        <f t="array" ref="M43">_xll.FDS(B43,"FF_SALES(ANN_R,0Y,,,,USD)")</f>
        <v>7093</v>
      </c>
      <c r="N43" s="205">
        <f t="array" ref="N43">_xll.FDS(B43,"FF_EBITDA_OPER(ANN_R,-1AY,,,,USD)")</f>
        <v>1063</v>
      </c>
      <c r="O43" s="205">
        <f t="array" ref="O43">_xll.FDS(B43,"FF_EBITDA_OPER(ANN_R,0Y,,,,USD)")</f>
        <v>1151</v>
      </c>
      <c r="P43" s="205">
        <f t="array" ref="P43">_xll.FDS(B43,"FF_NET_INC(ANN_R,-1AY,,,,USD)")</f>
        <v>149</v>
      </c>
      <c r="Q43" s="205">
        <f t="array" ref="Q43">_xll.FDS(B43,"FF_NET_INC(ANN_R,0Y,,,,USD)")</f>
        <v>280</v>
      </c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</row>
    <row r="44" spans="1:29" ht="15.75" customHeight="1" x14ac:dyDescent="0.25">
      <c r="B44" s="202" t="s">
        <v>172</v>
      </c>
      <c r="C44" s="237" t="str">
        <f t="array" ref="C44">_xll.FDS(B44,"FG_COMPANY_NAME")</f>
        <v>STERIS plc</v>
      </c>
      <c r="D44" s="238">
        <f t="array" ref="D44">_xll.FDS(B44,"FG_PRICE(0,,,USD)")</f>
        <v>233.79</v>
      </c>
      <c r="E44" s="205">
        <f t="array" ref="E44">_xll.FDS(B44,"FCS_SHARES(TOT,SHS,ANN,0,,,,,M)")</f>
        <v>99.845626999999993</v>
      </c>
      <c r="F44" s="205">
        <f t="shared" si="24"/>
        <v>23342.909136329996</v>
      </c>
      <c r="G44" s="205">
        <f t="shared" si="25"/>
        <v>25629.249136329996</v>
      </c>
      <c r="H44" s="184">
        <f t="array" ref="H44">_xll.FDS(B44,"FF_CASH_ST(QTR_R,0)")</f>
        <v>198.328</v>
      </c>
      <c r="I44" s="184">
        <f t="array" ref="I44">_xll.FDS(B44,"FF_DEBT(QTR_R,0)")</f>
        <v>2484.6680000000001</v>
      </c>
      <c r="K44" s="205">
        <f t="array" ref="K44">_xll.FDS(B44,"FF_SALES(ANN_R,-2AY,,,,USD)")</f>
        <v>4585.0640000000003</v>
      </c>
      <c r="L44" s="205">
        <f t="array" ref="L44">_xll.FDS(B44,"FF_SALES(ANN_R,-1AY,,,,USD)")</f>
        <v>4536.2659999999996</v>
      </c>
      <c r="M44" s="205">
        <f t="array" ref="M44">_xll.FDS(B44,"FF_SALES(ANN_R,0Y,,,,USD)")</f>
        <v>5138.701</v>
      </c>
      <c r="N44" s="205">
        <f t="array" ref="N44">_xll.FDS(B44,"FF_EBITDA_OPER(ANN_R,-1AY,,,,USD)")</f>
        <v>1364.057</v>
      </c>
      <c r="O44" s="205">
        <f t="array" ref="O44">_xll.FDS(B44,"FF_EBITDA_OPER(ANN_R,0Y,,,,USD)")</f>
        <v>1473.085</v>
      </c>
      <c r="P44" s="205">
        <f t="array" ref="P44">_xll.FDS(B44,"FF_NET_INC(ANN_R,-1AY,,,,USD)")</f>
        <v>557.41399999999999</v>
      </c>
      <c r="Q44" s="205">
        <f t="array" ref="Q44">_xll.FDS(B44,"FF_NET_INC(ANN_R,0Y,,,,USD)")</f>
        <v>551.44000000000005</v>
      </c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</row>
    <row r="45" spans="1:29" ht="15.75" customHeight="1" x14ac:dyDescent="0.25">
      <c r="B45" s="202" t="s">
        <v>174</v>
      </c>
      <c r="C45" s="237" t="str">
        <f t="array" ref="C45">_xll.FDS(B45,"FG_COMPANY_NAME")</f>
        <v>Pentair plc</v>
      </c>
      <c r="D45" s="238">
        <f t="array" ref="D45">_xll.FDS(B45,"FG_PRICE(0,,,USD)")</f>
        <v>84.81</v>
      </c>
      <c r="E45" s="205">
        <f t="array" ref="E45">_xll.FDS(B45,"FCS_SHARES(TOT,SHS,ANN,0,,,,,M)")</f>
        <v>167.20883599999999</v>
      </c>
      <c r="F45" s="205">
        <f t="shared" si="24"/>
        <v>14180.98138116</v>
      </c>
      <c r="G45" s="205">
        <f t="shared" si="25"/>
        <v>15852.08138116</v>
      </c>
      <c r="H45" s="184">
        <f t="array" ref="H45">_xll.FDS(B45,"FF_CASH_ST(QTR_R,0)")</f>
        <v>214.3</v>
      </c>
      <c r="I45" s="184">
        <f t="array" ref="I45">_xll.FDS(B45,"FF_DEBT(QTR_R,0)")</f>
        <v>1885.4</v>
      </c>
      <c r="K45" s="205">
        <f t="array" ref="K45">_xll.FDS(B45,"FF_SALES(ANN_R,-2AY,,,,USD)")</f>
        <v>3764.8</v>
      </c>
      <c r="L45" s="205">
        <f t="array" ref="L45">_xll.FDS(B45,"FF_SALES(ANN_R,-1AY,,,,USD)")</f>
        <v>4121.8</v>
      </c>
      <c r="M45" s="205">
        <f t="array" ref="M45">_xll.FDS(B45,"FF_SALES(ANN_R,0Y,,,,USD)")</f>
        <v>4104.5</v>
      </c>
      <c r="N45" s="205">
        <f t="array" ref="N45">_xll.FDS(B45,"FF_EBITDA_OPER(ANN_R,-1AY,,,,USD)")</f>
        <v>785.4</v>
      </c>
      <c r="O45" s="205">
        <f t="array" ref="O45">_xll.FDS(B45,"FF_EBITDA_OPER(ANN_R,0Y,,,,USD)")</f>
        <v>904.7</v>
      </c>
      <c r="P45" s="205">
        <f t="array" ref="P45">_xll.FDS(B45,"FF_NET_INC(ANN_R,-1AY,,,,USD)")</f>
        <v>483.2</v>
      </c>
      <c r="Q45" s="205">
        <f t="array" ref="Q45">_xll.FDS(B45,"FF_NET_INC(ANN_R,0Y,,,,USD)")</f>
        <v>622.9</v>
      </c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</row>
    <row r="46" spans="1:29" ht="15.75" customHeight="1" x14ac:dyDescent="0.25">
      <c r="B46" s="202" t="s">
        <v>175</v>
      </c>
      <c r="C46" s="237" t="str">
        <f t="array" ref="C46">_xll.FDS(B46,"FG_COMPANY_NAME")</f>
        <v>Veolia Environnement SA</v>
      </c>
      <c r="D46" s="238">
        <f t="array" ref="D46">_xll.FDS(B46,"FG_PRICE(0,,,USD)")</f>
        <v>30.632974999999998</v>
      </c>
      <c r="E46" s="205">
        <f t="array" ref="E46">_xll.FDS(B46,"FCS_SHARES(TOT,SHS,ANN,0,,,,,M)")</f>
        <v>718.53451800000005</v>
      </c>
      <c r="F46" s="205">
        <f t="shared" si="24"/>
        <v>22010.849926531049</v>
      </c>
      <c r="G46" s="205" t="e">
        <f>F46+I46-H46</f>
        <v>#VALUE!</v>
      </c>
      <c r="H46" s="184" t="str">
        <f>_xll.FDS(B46,"FF_CASH_ST(QTR_R,0)")</f>
        <v>#Calc</v>
      </c>
      <c r="I46" s="184" t="str">
        <f>_xll.FDS(B46,"FF_DEBT(QTR_R,0)")</f>
        <v>#Calc</v>
      </c>
      <c r="K46" s="205">
        <f t="array" ref="K46">_xll.FDS(B46,"FF_SALES(ANN_R,-2AY,,,,USD)")</f>
        <v>33696.031620204398</v>
      </c>
      <c r="L46" s="205">
        <f t="array" ref="L46">_xll.FDS(B46,"FF_SALES(ANN_R,-1AY,,,,USD)")</f>
        <v>45071.351108980198</v>
      </c>
      <c r="M46" s="205">
        <f t="array" ref="M46">_xll.FDS(B46,"FF_SALES(ANN_R,0Y,,,,USD)")</f>
        <v>49029.673731923103</v>
      </c>
      <c r="N46" s="205">
        <f t="array" ref="N46">_xll.FDS(B46,"FF_EBITDA_OPER(ANN_R,-1AY,,,,USD)")</f>
        <v>6283.4604600000002</v>
      </c>
      <c r="O46" s="205">
        <f t="array" ref="O46">_xll.FDS(B46,"FF_EBITDA_OPER(ANN_R,0Y,,,,USD)")</f>
        <v>6482.3691600000002</v>
      </c>
      <c r="P46" s="205">
        <f t="array" ref="P46">_xll.FDS(B46,"FF_NET_INC(ANN_R,-1AY,,,,USD)")</f>
        <v>834.89403877258303</v>
      </c>
      <c r="Q46" s="205">
        <f t="array" ref="Q46">_xll.FDS(B46,"FF_NET_INC(ANN_R,0Y,,,,USD)")</f>
        <v>1038.9520949125299</v>
      </c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</row>
    <row r="47" spans="1:29" x14ac:dyDescent="0.25">
      <c r="B47" s="202" t="s">
        <v>176</v>
      </c>
      <c r="C47" s="237" t="str">
        <f t="array" ref="C47">_xll.FDS(B47,"FG_COMPANY_NAME")</f>
        <v>Kemira Oyj</v>
      </c>
      <c r="D47" s="238">
        <f t="array" ref="D47">_xll.FDS(B47,"FG_PRICE(0,,,USD)")</f>
        <v>22.547450000000001</v>
      </c>
      <c r="E47" s="205">
        <f t="array" ref="E47">_xll.FDS(B47,"FCS_SHARES(TOT,SHS,ANN,0,,,,,M)")</f>
        <v>154.06830400000001</v>
      </c>
      <c r="F47" s="205">
        <f t="shared" si="24"/>
        <v>3473.8473810248006</v>
      </c>
      <c r="G47" s="205">
        <f t="shared" si="25"/>
        <v>3842.3473810248011</v>
      </c>
      <c r="H47" s="184">
        <f t="array" ref="H47">_xll.FDS(B47,"FF_CASH_ST(QTR_R,0)")</f>
        <v>384.6</v>
      </c>
      <c r="I47" s="184">
        <f t="array" ref="I47">_xll.FDS(B47,"FF_DEBT(QTR_R,0)")</f>
        <v>753.1</v>
      </c>
      <c r="K47" s="205">
        <f t="array" ref="K47">_xll.FDS(B47,"FF_SALES(ANN_R,-2AY,,,,USD)")</f>
        <v>3161.0898995399498</v>
      </c>
      <c r="L47" s="205">
        <f t="array" ref="L47">_xll.FDS(B47,"FF_SALES(ANN_R,-1AY,,,,USD)")</f>
        <v>3751.5581077575698</v>
      </c>
      <c r="M47" s="205">
        <f t="array" ref="M47">_xll.FDS(B47,"FF_SALES(ANN_R,0Y,,,,USD)")</f>
        <v>3658.1708673834801</v>
      </c>
      <c r="N47" s="205">
        <f t="array" ref="N47">_xll.FDS(B47,"FF_EBITDA_OPER(ANN_R,-1AY,,,,USD)")</f>
        <v>570.78417999999999</v>
      </c>
      <c r="O47" s="205">
        <f t="array" ref="O47">_xll.FDS(B47,"FF_EBITDA_OPER(ANN_R,0Y,,,,USD)")</f>
        <v>676.56214999999997</v>
      </c>
      <c r="P47" s="205">
        <f t="array" ref="P47">_xll.FDS(B47,"FF_NET_INC(ANN_R,-1AY,,,,USD)")</f>
        <v>243.51076130867</v>
      </c>
      <c r="Q47" s="205">
        <f t="array" ref="Q47">_xll.FDS(B47,"FF_NET_INC(ANN_R,0Y,,,,USD)")</f>
        <v>215.25011664629</v>
      </c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</row>
    <row r="48" spans="1:29" x14ac:dyDescent="0.25">
      <c r="B48" s="202"/>
      <c r="C48" s="237"/>
      <c r="D48" s="238"/>
      <c r="E48" s="205"/>
      <c r="F48" s="205"/>
      <c r="G48" s="205"/>
      <c r="K48" s="205"/>
      <c r="L48" s="205"/>
      <c r="M48" s="205"/>
      <c r="N48" s="205"/>
      <c r="O48" s="205"/>
      <c r="P48" s="205"/>
      <c r="Q48" s="205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</row>
    <row r="49" spans="2:29" x14ac:dyDescent="0.25">
      <c r="B49" s="202"/>
      <c r="C49" s="237"/>
      <c r="D49" s="238"/>
      <c r="E49" s="205"/>
      <c r="F49" s="205"/>
      <c r="G49" s="205"/>
      <c r="K49" s="205"/>
      <c r="L49" s="205"/>
      <c r="M49" s="205"/>
      <c r="N49" s="205"/>
      <c r="O49" s="205"/>
      <c r="P49" s="205"/>
      <c r="Q49" s="205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</row>
    <row r="50" spans="2:29" x14ac:dyDescent="0.25">
      <c r="B50" s="202"/>
      <c r="D50" s="238"/>
      <c r="E50" s="205"/>
      <c r="F50" s="205"/>
      <c r="G50" s="205"/>
      <c r="K50" s="205"/>
      <c r="L50" s="205"/>
      <c r="M50" s="205"/>
      <c r="N50" s="205"/>
      <c r="O50" s="205"/>
      <c r="P50" s="205"/>
      <c r="Q50" s="205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</row>
    <row r="51" spans="2:29" x14ac:dyDescent="0.25">
      <c r="B51" s="202"/>
      <c r="D51" s="238"/>
      <c r="E51" s="205"/>
      <c r="F51" s="205"/>
      <c r="G51" s="205"/>
      <c r="K51" s="205"/>
      <c r="L51" s="205"/>
      <c r="M51" s="205"/>
      <c r="N51" s="205"/>
      <c r="O51" s="205"/>
      <c r="P51" s="205"/>
      <c r="Q51" s="205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</row>
    <row r="52" spans="2:29" ht="17.25" x14ac:dyDescent="0.25">
      <c r="B52" s="202"/>
      <c r="D52" s="238"/>
      <c r="E52" s="190" t="s">
        <v>75</v>
      </c>
      <c r="F52" s="190"/>
      <c r="G52" s="190"/>
      <c r="H52" s="190" t="s">
        <v>70</v>
      </c>
      <c r="I52" s="190"/>
      <c r="J52" s="190" t="s">
        <v>125</v>
      </c>
      <c r="K52" s="190"/>
      <c r="L52" s="205"/>
      <c r="M52" s="205"/>
      <c r="N52" s="205"/>
      <c r="O52" s="205"/>
      <c r="P52" s="205"/>
      <c r="Q52" s="205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</row>
    <row r="53" spans="2:29" x14ac:dyDescent="0.25">
      <c r="B53" s="202"/>
      <c r="D53" s="238"/>
      <c r="E53" s="193" t="s">
        <v>136</v>
      </c>
      <c r="F53" s="193" t="s">
        <v>137</v>
      </c>
      <c r="G53" s="193" t="s">
        <v>138</v>
      </c>
      <c r="H53" s="193" t="s">
        <v>139</v>
      </c>
      <c r="I53" s="193" t="s">
        <v>140</v>
      </c>
      <c r="J53" s="193" t="str">
        <f>H53</f>
        <v>'22</v>
      </c>
      <c r="K53" s="193" t="str">
        <f>I53</f>
        <v>'23</v>
      </c>
      <c r="L53" s="205"/>
      <c r="M53" s="205"/>
      <c r="N53" s="205"/>
      <c r="O53" s="205"/>
      <c r="P53" s="205"/>
      <c r="Q53" s="205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</row>
    <row r="54" spans="2:29" x14ac:dyDescent="0.25">
      <c r="B54" s="202"/>
      <c r="D54" s="238" t="str">
        <f>B39</f>
        <v>ECL-US</v>
      </c>
      <c r="E54" s="240">
        <f>K39</f>
        <v>12733.1</v>
      </c>
      <c r="F54" s="240">
        <f t="shared" ref="F54:K57" si="26">L39</f>
        <v>14187.8</v>
      </c>
      <c r="G54" s="240">
        <f t="shared" si="26"/>
        <v>15320.2</v>
      </c>
      <c r="H54" s="240">
        <f t="shared" si="26"/>
        <v>2548.1999999999998</v>
      </c>
      <c r="I54" s="240">
        <f t="shared" si="26"/>
        <v>3084.3</v>
      </c>
      <c r="J54" s="240">
        <f t="shared" si="26"/>
        <v>1091.7</v>
      </c>
      <c r="K54" s="240">
        <f t="shared" si="26"/>
        <v>1372.3</v>
      </c>
      <c r="L54" s="205"/>
      <c r="M54" s="205"/>
      <c r="N54" s="205"/>
      <c r="O54" s="205"/>
      <c r="P54" s="205"/>
      <c r="Q54" s="205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</row>
    <row r="55" spans="2:29" x14ac:dyDescent="0.25">
      <c r="B55" s="202"/>
      <c r="D55" s="238" t="str">
        <f t="shared" ref="D55:D57" si="27">B40</f>
        <v>DD-US</v>
      </c>
      <c r="E55" s="240">
        <f t="shared" ref="E55:E57" si="28">K40</f>
        <v>12566</v>
      </c>
      <c r="F55" s="240">
        <f t="shared" si="26"/>
        <v>13017</v>
      </c>
      <c r="G55" s="240">
        <f t="shared" si="26"/>
        <v>12068</v>
      </c>
      <c r="H55" s="240">
        <f t="shared" si="26"/>
        <v>3157</v>
      </c>
      <c r="I55" s="240">
        <f t="shared" si="26"/>
        <v>2864</v>
      </c>
      <c r="J55" s="240">
        <f t="shared" si="26"/>
        <v>1012</v>
      </c>
      <c r="K55" s="240">
        <f t="shared" si="26"/>
        <v>494</v>
      </c>
      <c r="L55" s="205"/>
      <c r="M55" s="205"/>
      <c r="N55" s="205"/>
      <c r="O55" s="205"/>
      <c r="P55" s="205"/>
      <c r="Q55" s="205"/>
      <c r="R55" s="196"/>
      <c r="S55" s="196"/>
      <c r="T55" s="196"/>
      <c r="U55" s="196"/>
      <c r="V55" s="196"/>
      <c r="W55" s="196"/>
      <c r="X55" s="196"/>
      <c r="Y55" s="196"/>
      <c r="Z55" s="196"/>
      <c r="AA55" s="196"/>
      <c r="AB55" s="196"/>
      <c r="AC55" s="196"/>
    </row>
    <row r="56" spans="2:29" x14ac:dyDescent="0.25">
      <c r="B56" s="202"/>
      <c r="D56" s="238" t="str">
        <f t="shared" si="27"/>
        <v>XYL-US</v>
      </c>
      <c r="E56" s="240">
        <f t="shared" si="28"/>
        <v>5199</v>
      </c>
      <c r="F56" s="240">
        <f t="shared" si="26"/>
        <v>5541</v>
      </c>
      <c r="G56" s="240">
        <f t="shared" si="26"/>
        <v>7367</v>
      </c>
      <c r="H56" s="240">
        <f t="shared" si="26"/>
        <v>901</v>
      </c>
      <c r="I56" s="240">
        <f t="shared" si="26"/>
        <v>1171</v>
      </c>
      <c r="J56" s="240">
        <f t="shared" si="26"/>
        <v>355</v>
      </c>
      <c r="K56" s="240">
        <f t="shared" si="26"/>
        <v>609</v>
      </c>
      <c r="L56" s="205"/>
      <c r="M56" s="205"/>
      <c r="N56" s="205"/>
      <c r="O56" s="205"/>
      <c r="P56" s="205"/>
      <c r="Q56" s="205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</row>
    <row r="57" spans="2:29" x14ac:dyDescent="0.25">
      <c r="B57" s="202"/>
      <c r="D57" s="238" t="str">
        <f t="shared" si="27"/>
        <v>DOV-US</v>
      </c>
      <c r="E57" s="240">
        <f t="shared" si="28"/>
        <v>7907.0810000000001</v>
      </c>
      <c r="F57" s="240">
        <f t="shared" si="26"/>
        <v>8508.0879999999997</v>
      </c>
      <c r="G57" s="240">
        <f t="shared" si="26"/>
        <v>8438.134</v>
      </c>
      <c r="H57" s="240">
        <f t="shared" si="26"/>
        <v>1725.8579999999999</v>
      </c>
      <c r="I57" s="240">
        <f t="shared" si="26"/>
        <v>1747.479</v>
      </c>
      <c r="J57" s="240">
        <f t="shared" si="26"/>
        <v>1065.376</v>
      </c>
      <c r="K57" s="240">
        <f t="shared" si="26"/>
        <v>1056.828</v>
      </c>
      <c r="L57" s="205"/>
      <c r="M57" s="205"/>
      <c r="N57" s="205"/>
      <c r="O57" s="205"/>
      <c r="P57" s="205"/>
      <c r="Q57" s="205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</row>
    <row r="58" spans="2:29" x14ac:dyDescent="0.25">
      <c r="B58" s="202"/>
      <c r="D58" s="238" t="str">
        <f t="shared" ref="D58:D59" si="29">B43</f>
        <v>CLX-US</v>
      </c>
      <c r="E58" s="240">
        <f t="shared" ref="E58:E59" si="30">K43</f>
        <v>7107</v>
      </c>
      <c r="F58" s="240">
        <f t="shared" ref="F58:F59" si="31">L43</f>
        <v>7389</v>
      </c>
      <c r="G58" s="240">
        <f t="shared" ref="G58:G59" si="32">M43</f>
        <v>7093</v>
      </c>
      <c r="H58" s="240">
        <f t="shared" ref="H58:H59" si="33">N43</f>
        <v>1063</v>
      </c>
      <c r="I58" s="240">
        <f t="shared" ref="I58:I59" si="34">O43</f>
        <v>1151</v>
      </c>
      <c r="J58" s="240">
        <f t="shared" ref="J58:J59" si="35">P43</f>
        <v>149</v>
      </c>
      <c r="K58" s="240">
        <f t="shared" ref="K58:K59" si="36">Q43</f>
        <v>280</v>
      </c>
      <c r="L58" s="205"/>
      <c r="M58" s="205"/>
      <c r="N58" s="205"/>
      <c r="O58" s="205"/>
      <c r="P58" s="205"/>
      <c r="Q58" s="205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</row>
    <row r="59" spans="2:29" x14ac:dyDescent="0.25">
      <c r="B59" s="202"/>
      <c r="D59" s="238" t="str">
        <f t="shared" si="29"/>
        <v>STE-US</v>
      </c>
      <c r="E59" s="240">
        <f t="shared" si="30"/>
        <v>4585.0640000000003</v>
      </c>
      <c r="F59" s="240">
        <f t="shared" si="31"/>
        <v>4536.2659999999996</v>
      </c>
      <c r="G59" s="240">
        <f t="shared" si="32"/>
        <v>5138.701</v>
      </c>
      <c r="H59" s="240">
        <f t="shared" si="33"/>
        <v>1364.057</v>
      </c>
      <c r="I59" s="240">
        <f t="shared" si="34"/>
        <v>1473.085</v>
      </c>
      <c r="J59" s="240">
        <f t="shared" si="35"/>
        <v>557.41399999999999</v>
      </c>
      <c r="K59" s="240">
        <f t="shared" si="36"/>
        <v>551.44000000000005</v>
      </c>
      <c r="L59" s="205"/>
      <c r="M59" s="205"/>
      <c r="N59" s="205"/>
      <c r="O59" s="205"/>
      <c r="P59" s="205"/>
      <c r="Q59" s="205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</row>
    <row r="60" spans="2:29" x14ac:dyDescent="0.25">
      <c r="B60" s="202"/>
      <c r="D60" s="238" t="str">
        <f>B45</f>
        <v>PNR-US</v>
      </c>
      <c r="E60" s="240">
        <f t="shared" ref="E60:K62" si="37">K45</f>
        <v>3764.8</v>
      </c>
      <c r="F60" s="240">
        <f t="shared" si="37"/>
        <v>4121.8</v>
      </c>
      <c r="G60" s="240">
        <f t="shared" si="37"/>
        <v>4104.5</v>
      </c>
      <c r="H60" s="240">
        <f t="shared" si="37"/>
        <v>785.4</v>
      </c>
      <c r="I60" s="240">
        <f t="shared" si="37"/>
        <v>904.7</v>
      </c>
      <c r="J60" s="240">
        <f t="shared" si="37"/>
        <v>483.2</v>
      </c>
      <c r="K60" s="240">
        <f t="shared" si="37"/>
        <v>622.9</v>
      </c>
      <c r="L60" s="205"/>
      <c r="M60" s="205"/>
      <c r="N60" s="205"/>
      <c r="O60" s="205"/>
      <c r="P60" s="205"/>
      <c r="Q60" s="205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</row>
    <row r="61" spans="2:29" ht="15.75" customHeight="1" x14ac:dyDescent="0.25">
      <c r="B61" s="202"/>
      <c r="D61" s="238" t="str">
        <f>B46</f>
        <v>VIE-FR</v>
      </c>
      <c r="E61" s="240">
        <f t="shared" si="37"/>
        <v>33696.031620204398</v>
      </c>
      <c r="F61" s="240">
        <f t="shared" si="37"/>
        <v>45071.351108980198</v>
      </c>
      <c r="G61" s="240">
        <f t="shared" si="37"/>
        <v>49029.673731923103</v>
      </c>
      <c r="H61" s="240">
        <f t="shared" si="37"/>
        <v>6283.4604600000002</v>
      </c>
      <c r="I61" s="240">
        <f t="shared" si="37"/>
        <v>6482.3691600000002</v>
      </c>
      <c r="J61" s="240">
        <f t="shared" si="37"/>
        <v>834.89403877258303</v>
      </c>
      <c r="K61" s="240">
        <f t="shared" si="37"/>
        <v>1038.9520949125299</v>
      </c>
      <c r="L61" s="205"/>
      <c r="M61" s="205"/>
      <c r="N61" s="205"/>
      <c r="O61" s="205"/>
      <c r="P61" s="205"/>
      <c r="Q61" s="205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241"/>
    </row>
    <row r="62" spans="2:29" x14ac:dyDescent="0.25">
      <c r="B62" s="202"/>
      <c r="D62" s="238" t="str">
        <f>B47</f>
        <v>KEMIRA-FI</v>
      </c>
      <c r="E62" s="240">
        <f t="shared" si="37"/>
        <v>3161.0898995399498</v>
      </c>
      <c r="F62" s="240">
        <f t="shared" si="37"/>
        <v>3751.5581077575698</v>
      </c>
      <c r="G62" s="240">
        <f t="shared" si="37"/>
        <v>3658.1708673834801</v>
      </c>
      <c r="H62" s="240">
        <f t="shared" si="37"/>
        <v>570.78417999999999</v>
      </c>
      <c r="I62" s="240">
        <f t="shared" si="37"/>
        <v>676.56214999999997</v>
      </c>
      <c r="J62" s="240">
        <f t="shared" si="37"/>
        <v>243.51076130867</v>
      </c>
      <c r="K62" s="240">
        <f t="shared" si="37"/>
        <v>215.25011664629</v>
      </c>
      <c r="L62" s="205"/>
      <c r="M62" s="205"/>
      <c r="N62" s="205"/>
      <c r="O62" s="205"/>
      <c r="P62" s="207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6"/>
      <c r="AB62" s="196"/>
      <c r="AC62" s="196"/>
    </row>
    <row r="63" spans="2:29" x14ac:dyDescent="0.25">
      <c r="B63" s="202"/>
      <c r="D63" s="238"/>
      <c r="E63" s="240"/>
      <c r="F63" s="240"/>
      <c r="G63" s="240"/>
      <c r="H63" s="240"/>
      <c r="I63" s="240"/>
      <c r="J63" s="240"/>
      <c r="K63" s="240"/>
      <c r="L63" s="205"/>
      <c r="M63" s="205"/>
      <c r="N63" s="205"/>
      <c r="O63" s="205"/>
      <c r="P63" s="207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/>
    </row>
    <row r="64" spans="2:29" x14ac:dyDescent="0.25">
      <c r="B64" s="202"/>
      <c r="D64" s="238"/>
      <c r="E64" s="240"/>
      <c r="F64" s="240"/>
      <c r="G64" s="240"/>
      <c r="H64" s="240"/>
      <c r="I64" s="240"/>
      <c r="J64" s="240"/>
      <c r="K64" s="240"/>
      <c r="L64" s="205"/>
      <c r="M64" s="205"/>
      <c r="N64" s="205"/>
      <c r="O64" s="205"/>
      <c r="P64" s="207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</row>
    <row r="65" spans="2:29" x14ac:dyDescent="0.25">
      <c r="B65" s="202"/>
      <c r="D65" s="238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7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</row>
    <row r="66" spans="2:29" x14ac:dyDescent="0.25">
      <c r="B66" s="202"/>
      <c r="D66" s="242" t="s">
        <v>7</v>
      </c>
      <c r="E66" s="205">
        <f t="shared" ref="E66:K66" si="38">SUM(E54:E64)</f>
        <v>90719.166519744351</v>
      </c>
      <c r="F66" s="205">
        <f t="shared" si="38"/>
        <v>106123.86321673775</v>
      </c>
      <c r="G66" s="205">
        <f t="shared" si="38"/>
        <v>112217.37959930659</v>
      </c>
      <c r="H66" s="205">
        <f t="shared" si="38"/>
        <v>18398.75964</v>
      </c>
      <c r="I66" s="205">
        <f t="shared" si="38"/>
        <v>19554.495310000002</v>
      </c>
      <c r="J66" s="205">
        <f t="shared" si="38"/>
        <v>5792.0948000812532</v>
      </c>
      <c r="K66" s="205">
        <f t="shared" si="38"/>
        <v>6240.6702115588196</v>
      </c>
      <c r="L66" s="205"/>
      <c r="M66" s="205"/>
      <c r="N66" s="205"/>
      <c r="O66" s="205"/>
      <c r="P66" s="207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6"/>
      <c r="AB66" s="196"/>
      <c r="AC66" s="196"/>
    </row>
    <row r="67" spans="2:29" x14ac:dyDescent="0.25">
      <c r="B67" s="202"/>
      <c r="L67" s="205"/>
      <c r="M67" s="205"/>
      <c r="N67" s="205"/>
      <c r="O67" s="205"/>
      <c r="P67" s="207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</row>
    <row r="68" spans="2:29" x14ac:dyDescent="0.25">
      <c r="B68" s="202"/>
      <c r="D68" s="181" t="s">
        <v>157</v>
      </c>
      <c r="E68" s="243">
        <f t="shared" ref="E68:K68" si="39">E54/E66</f>
        <v>0.14035733008226808</v>
      </c>
      <c r="F68" s="243">
        <f t="shared" si="39"/>
        <v>0.13369094914142093</v>
      </c>
      <c r="G68" s="243">
        <f>G54/G66</f>
        <v>0.13652252489501784</v>
      </c>
      <c r="H68" s="243">
        <f t="shared" si="39"/>
        <v>0.13849846673685878</v>
      </c>
      <c r="I68" s="243">
        <f t="shared" si="39"/>
        <v>0.15772843794248761</v>
      </c>
      <c r="J68" s="243">
        <f t="shared" si="39"/>
        <v>0.18848103107440253</v>
      </c>
      <c r="K68" s="243">
        <f t="shared" si="39"/>
        <v>0.21989625368414098</v>
      </c>
      <c r="L68" s="205"/>
      <c r="M68" s="205"/>
      <c r="N68" s="205"/>
      <c r="O68" s="205"/>
      <c r="P68" s="20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</row>
    <row r="69" spans="2:29" x14ac:dyDescent="0.25">
      <c r="B69" s="202"/>
      <c r="D69" s="181"/>
      <c r="E69" s="224" t="s">
        <v>76</v>
      </c>
      <c r="F69" s="243">
        <f>F68-E68</f>
        <v>-6.6663809408471497E-3</v>
      </c>
      <c r="G69" s="243">
        <f>G68-F68</f>
        <v>2.8315757535969099E-3</v>
      </c>
      <c r="I69" s="244"/>
      <c r="J69" s="244"/>
      <c r="K69" s="244"/>
      <c r="L69" s="205"/>
      <c r="M69" s="205"/>
      <c r="N69" s="205"/>
      <c r="O69" s="205"/>
      <c r="P69" s="207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</row>
    <row r="70" spans="2:29" x14ac:dyDescent="0.25">
      <c r="B70" s="202"/>
      <c r="D70" s="181"/>
      <c r="E70" s="205"/>
      <c r="F70" s="205"/>
      <c r="G70" s="205"/>
      <c r="I70" s="244"/>
      <c r="J70" s="244"/>
      <c r="K70" s="244"/>
      <c r="L70" s="205"/>
      <c r="M70" s="205"/>
      <c r="N70" s="205"/>
      <c r="O70" s="205"/>
      <c r="P70" s="207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</row>
    <row r="71" spans="2:29" x14ac:dyDescent="0.25">
      <c r="B71" s="202"/>
      <c r="L71" s="205"/>
      <c r="M71" s="205"/>
      <c r="N71" s="205"/>
      <c r="O71" s="205"/>
      <c r="P71" s="207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</row>
    <row r="72" spans="2:29" x14ac:dyDescent="0.25">
      <c r="B72" s="202"/>
      <c r="L72" s="205"/>
      <c r="M72" s="205"/>
      <c r="N72" s="205"/>
      <c r="O72" s="205"/>
      <c r="P72" s="207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/>
    </row>
    <row r="73" spans="2:29" x14ac:dyDescent="0.25">
      <c r="B73" s="202"/>
      <c r="E73" s="207"/>
      <c r="F73" s="196"/>
      <c r="G73" s="196"/>
      <c r="H73" s="196"/>
      <c r="I73" s="196"/>
      <c r="J73" s="196"/>
      <c r="K73" s="196"/>
      <c r="O73" s="205"/>
      <c r="P73" s="207"/>
      <c r="Q73" s="196"/>
      <c r="R73" s="196"/>
      <c r="S73" s="196"/>
      <c r="T73" s="196"/>
      <c r="U73" s="196"/>
      <c r="V73" s="196"/>
      <c r="W73" s="196"/>
      <c r="X73" s="196"/>
      <c r="Y73" s="196"/>
      <c r="Z73" s="239"/>
      <c r="AA73" s="196"/>
      <c r="AB73" s="196"/>
      <c r="AC73" s="196"/>
    </row>
    <row r="74" spans="2:29" x14ac:dyDescent="0.25">
      <c r="B74" s="202"/>
      <c r="D74" s="181"/>
      <c r="E74" s="207"/>
      <c r="F74" s="196"/>
      <c r="G74" s="196"/>
      <c r="H74" s="196"/>
      <c r="I74" s="196"/>
      <c r="J74" s="196"/>
      <c r="K74" s="196"/>
      <c r="O74" s="205"/>
      <c r="P74" s="207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/>
    </row>
    <row r="75" spans="2:29" x14ac:dyDescent="0.25">
      <c r="B75" s="202"/>
      <c r="D75" s="181"/>
      <c r="E75" s="207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</row>
    <row r="76" spans="2:29" x14ac:dyDescent="0.25">
      <c r="B76" s="202"/>
      <c r="D76" s="181"/>
      <c r="E76" s="205"/>
      <c r="F76" s="205"/>
      <c r="G76" s="245"/>
      <c r="I76" s="205"/>
      <c r="J76" s="205"/>
      <c r="K76" s="205"/>
      <c r="L76" s="196"/>
      <c r="M76" s="196"/>
      <c r="N76" s="196"/>
      <c r="O76" s="196"/>
      <c r="P76" s="196"/>
      <c r="Q76" s="196"/>
      <c r="R76" s="196"/>
    </row>
    <row r="77" spans="2:29" x14ac:dyDescent="0.25">
      <c r="B77" s="202"/>
      <c r="I77" s="246"/>
      <c r="L77" s="196"/>
      <c r="M77" s="196"/>
      <c r="N77" s="196"/>
      <c r="O77" s="196"/>
      <c r="P77" s="196"/>
      <c r="Q77" s="196"/>
      <c r="R77" s="196"/>
    </row>
    <row r="78" spans="2:29" x14ac:dyDescent="0.25">
      <c r="B78" s="202"/>
      <c r="I78" s="246"/>
      <c r="L78" s="205"/>
      <c r="M78" s="205"/>
      <c r="N78" s="205"/>
      <c r="O78" s="205"/>
      <c r="P78" s="207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/>
    </row>
    <row r="79" spans="2:29" x14ac:dyDescent="0.25">
      <c r="B79" s="202"/>
      <c r="I79" s="205"/>
      <c r="L79" s="205"/>
      <c r="M79" s="205"/>
      <c r="N79" s="205"/>
      <c r="O79" s="205"/>
      <c r="P79" s="207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</row>
    <row r="80" spans="2:29" x14ac:dyDescent="0.25">
      <c r="B80" s="202"/>
      <c r="I80" s="205"/>
      <c r="L80" s="205"/>
      <c r="M80" s="205"/>
      <c r="N80" s="205"/>
      <c r="O80" s="205"/>
      <c r="P80" s="207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</row>
    <row r="81" spans="2:29" x14ac:dyDescent="0.25">
      <c r="B81" s="202"/>
      <c r="O81" s="205"/>
      <c r="P81" s="207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/>
    </row>
    <row r="82" spans="2:29" x14ac:dyDescent="0.25">
      <c r="B82" s="202"/>
      <c r="O82" s="205"/>
      <c r="P82" s="207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</row>
    <row r="83" spans="2:29" x14ac:dyDescent="0.25">
      <c r="B83" s="202"/>
      <c r="O83" s="205"/>
      <c r="P83" s="247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 spans="2:29" x14ac:dyDescent="0.25">
      <c r="B84" s="202"/>
      <c r="E84" s="248"/>
      <c r="F84" s="248"/>
      <c r="G84" s="248"/>
      <c r="H84" s="248"/>
      <c r="O84" s="207"/>
      <c r="P84" s="207"/>
      <c r="Q84" s="207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</row>
    <row r="85" spans="2:29" x14ac:dyDescent="0.25">
      <c r="B85" s="202"/>
      <c r="E85" s="248"/>
      <c r="F85" s="248"/>
      <c r="G85" s="248"/>
      <c r="H85" s="248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</row>
    <row r="86" spans="2:29" x14ac:dyDescent="0.25">
      <c r="B86" s="202"/>
      <c r="E86" s="248"/>
      <c r="F86" s="248"/>
      <c r="G86" s="248"/>
      <c r="H86" s="248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/>
    </row>
    <row r="87" spans="2:29" ht="15.75" customHeight="1" x14ac:dyDescent="0.25">
      <c r="B87" s="202"/>
      <c r="E87" s="248"/>
      <c r="F87" s="248"/>
      <c r="G87" s="248"/>
      <c r="H87" s="248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</row>
    <row r="88" spans="2:29" ht="15.75" customHeight="1" x14ac:dyDescent="0.25">
      <c r="B88" s="202"/>
      <c r="E88" s="248"/>
      <c r="F88" s="248"/>
      <c r="G88" s="248"/>
      <c r="H88" s="248"/>
      <c r="R88" s="207"/>
      <c r="S88" s="207"/>
      <c r="T88" s="207"/>
      <c r="U88" s="207"/>
      <c r="V88" s="207"/>
      <c r="W88" s="207"/>
      <c r="X88" s="249"/>
      <c r="Y88" s="249"/>
      <c r="Z88" s="249"/>
      <c r="AA88" s="249"/>
      <c r="AB88" s="249"/>
      <c r="AC88" s="249"/>
    </row>
    <row r="89" spans="2:29" x14ac:dyDescent="0.25">
      <c r="E89" s="248"/>
      <c r="F89" s="248"/>
      <c r="G89" s="248"/>
      <c r="H89" s="248"/>
    </row>
    <row r="90" spans="2:29" x14ac:dyDescent="0.25">
      <c r="E90" s="248"/>
      <c r="F90" s="248"/>
      <c r="G90" s="248"/>
      <c r="H90" s="248"/>
    </row>
    <row r="91" spans="2:29" x14ac:dyDescent="0.25">
      <c r="E91" s="248"/>
      <c r="F91" s="248"/>
      <c r="G91" s="248"/>
      <c r="H91" s="248"/>
    </row>
    <row r="92" spans="2:29" x14ac:dyDescent="0.25">
      <c r="E92" s="248"/>
      <c r="F92" s="248"/>
      <c r="G92" s="248"/>
      <c r="H92" s="248"/>
    </row>
    <row r="97" spans="4:13" x14ac:dyDescent="0.25">
      <c r="I97" s="248"/>
      <c r="J97" s="248"/>
      <c r="K97" s="248"/>
    </row>
    <row r="98" spans="4:13" x14ac:dyDescent="0.25">
      <c r="I98" s="248"/>
      <c r="J98" s="248"/>
      <c r="K98" s="248"/>
    </row>
    <row r="99" spans="4:13" x14ac:dyDescent="0.25">
      <c r="I99" s="248"/>
      <c r="J99" s="248"/>
      <c r="K99" s="248"/>
      <c r="L99" s="248"/>
      <c r="M99" s="250"/>
    </row>
    <row r="100" spans="4:13" x14ac:dyDescent="0.25">
      <c r="I100" s="248"/>
      <c r="J100" s="248"/>
      <c r="K100" s="248"/>
      <c r="L100" s="248"/>
      <c r="M100" s="250"/>
    </row>
    <row r="101" spans="4:13" x14ac:dyDescent="0.25">
      <c r="I101" s="248"/>
      <c r="J101" s="248"/>
      <c r="K101" s="248"/>
      <c r="L101" s="248"/>
      <c r="M101" s="250"/>
    </row>
    <row r="102" spans="4:13" x14ac:dyDescent="0.25">
      <c r="I102" s="248"/>
      <c r="J102" s="248"/>
      <c r="K102" s="248"/>
      <c r="L102" s="248"/>
      <c r="M102" s="250"/>
    </row>
    <row r="103" spans="4:13" x14ac:dyDescent="0.25">
      <c r="I103" s="248"/>
      <c r="J103" s="248"/>
      <c r="K103" s="248"/>
      <c r="L103" s="248"/>
      <c r="M103" s="250"/>
    </row>
    <row r="104" spans="4:13" x14ac:dyDescent="0.25">
      <c r="I104" s="248"/>
      <c r="J104" s="248"/>
      <c r="K104" s="248"/>
      <c r="L104" s="248"/>
      <c r="M104" s="250"/>
    </row>
    <row r="105" spans="4:13" x14ac:dyDescent="0.25">
      <c r="I105" s="248"/>
      <c r="J105" s="248"/>
      <c r="K105" s="248"/>
      <c r="L105" s="248"/>
      <c r="M105" s="250"/>
    </row>
    <row r="106" spans="4:13" x14ac:dyDescent="0.25">
      <c r="L106" s="248"/>
    </row>
    <row r="107" spans="4:13" x14ac:dyDescent="0.25">
      <c r="L107" s="248"/>
    </row>
    <row r="111" spans="4:13" x14ac:dyDescent="0.25">
      <c r="D111" s="250"/>
    </row>
    <row r="112" spans="4:13" ht="15.75" customHeight="1" x14ac:dyDescent="0.25">
      <c r="D112" s="250"/>
    </row>
    <row r="113" spans="4:4" x14ac:dyDescent="0.25">
      <c r="D113" s="250"/>
    </row>
    <row r="114" spans="4:4" ht="15.75" customHeight="1" x14ac:dyDescent="0.25">
      <c r="D114" s="250"/>
    </row>
    <row r="115" spans="4:4" x14ac:dyDescent="0.25">
      <c r="D115" s="250"/>
    </row>
    <row r="116" spans="4:4" ht="18.75" customHeight="1" x14ac:dyDescent="0.25">
      <c r="D116" s="250"/>
    </row>
  </sheetData>
  <conditionalFormatting sqref="E73:E75 P69:P74 P78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75 Q69:Q74 Q78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5 R73:R74 R78:R82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3:H75 S73:S74 S78:S8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5 T73:T74 T78:T82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P23 P13:P18 P20:P2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3:J75 U73:U74 U78:U8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K75 V73:V74 V78:V8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4:P84 P79:P82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P21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2:P68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2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3:Q68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9:Q83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R21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R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V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V2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V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R4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9:R4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:R59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0:R7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:R72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3:R8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:V4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4 S4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:S59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:S61 S63:S72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:S7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3:S8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T21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T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T44 T4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9:T4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8:T59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0:T61 T63:T72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0:T72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3:T8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9:U4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9:U4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8:U59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0:U72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3:U87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V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9:V41 V43:V4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9:V41 V43:V4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8:V59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0:V72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3:V87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2:X18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X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9:X46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0:X70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1:X72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3:X74 X78:X82 M75:M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3:X87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AC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2:AC18 Y11:AC1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AC20 Y11:AC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AC2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Y18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8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9:Y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9:Y4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0:Y7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3:Y74 Y78:Y82 N75:N7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3:Y8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Z1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Z18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:Z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9:Z4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0:Z7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8:Z82 Z74 O75:O77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3:Z87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A1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A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:AA4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9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0:AA7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3:AA74 AA78:AA82 P75:P7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3:AA87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B12 AC1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B1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0:AB70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2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3:AB74 AB78:AB82 Q75:Q77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3:AB87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C18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C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3:AC1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:AC2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9:AC4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9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0:AC70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1:AC72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3:AC74 AC78:AC82 R75:R7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3:AC87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8"/>
  <sheetViews>
    <sheetView zoomScale="90" zoomScaleNormal="90" workbookViewId="0">
      <selection activeCell="H37" sqref="H37"/>
    </sheetView>
  </sheetViews>
  <sheetFormatPr defaultColWidth="8.85546875" defaultRowHeight="15" x14ac:dyDescent="0.25"/>
  <cols>
    <col min="1" max="1" width="38.28515625" bestFit="1" customWidth="1"/>
    <col min="2" max="8" width="9" customWidth="1"/>
  </cols>
  <sheetData>
    <row r="2" spans="1:17" x14ac:dyDescent="0.25">
      <c r="B2" s="1"/>
      <c r="C2" s="1"/>
      <c r="D2" s="1"/>
    </row>
    <row r="3" spans="1:17" x14ac:dyDescent="0.25">
      <c r="B3" s="1"/>
      <c r="C3" s="1"/>
      <c r="D3" s="1"/>
    </row>
    <row r="4" spans="1:17" x14ac:dyDescent="0.25">
      <c r="A4" s="1" t="s">
        <v>13</v>
      </c>
      <c r="B4" t="s">
        <v>26</v>
      </c>
      <c r="C4" t="s">
        <v>25</v>
      </c>
      <c r="D4" t="s">
        <v>24</v>
      </c>
      <c r="E4" t="s">
        <v>23</v>
      </c>
      <c r="F4" t="s">
        <v>20</v>
      </c>
      <c r="G4" s="5" t="s">
        <v>11</v>
      </c>
      <c r="H4" s="5" t="s">
        <v>21</v>
      </c>
      <c r="I4" s="5" t="s">
        <v>22</v>
      </c>
      <c r="J4" s="6" t="s">
        <v>19</v>
      </c>
      <c r="K4" s="5" t="s">
        <v>10</v>
      </c>
      <c r="L4" s="6"/>
      <c r="M4" s="6"/>
      <c r="N4" s="6"/>
      <c r="O4" s="6"/>
      <c r="P4" s="6"/>
      <c r="Q4" s="6"/>
    </row>
    <row r="5" spans="1:17" x14ac:dyDescent="0.25">
      <c r="A5" s="3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" t="s">
        <v>1</v>
      </c>
      <c r="B6" s="7">
        <v>1358.4</v>
      </c>
      <c r="C6" s="7">
        <v>1471.4</v>
      </c>
      <c r="D6" s="7">
        <v>1551.8</v>
      </c>
      <c r="E6" s="7">
        <f>5937-D6-C6-B6</f>
        <v>1555.3999999999996</v>
      </c>
      <c r="F6" s="7">
        <v>1498.2</v>
      </c>
      <c r="G6" s="8">
        <v>1587.8</v>
      </c>
      <c r="H6" s="8">
        <v>1614</v>
      </c>
      <c r="I6" s="7">
        <f>6331-H6-G6-F6</f>
        <v>1630.9999999999998</v>
      </c>
      <c r="J6" s="9">
        <v>1612.5</v>
      </c>
      <c r="K6" s="8">
        <v>1702.7</v>
      </c>
      <c r="L6" s="6"/>
      <c r="M6" s="6"/>
      <c r="N6" s="6"/>
      <c r="O6" s="6"/>
      <c r="P6" s="6"/>
      <c r="Q6" s="6"/>
    </row>
    <row r="7" spans="1:17" x14ac:dyDescent="0.25">
      <c r="A7" s="1" t="s">
        <v>2</v>
      </c>
      <c r="B7" s="7">
        <v>207.3</v>
      </c>
      <c r="C7" s="7">
        <v>218.5</v>
      </c>
      <c r="D7" s="7">
        <v>217.8</v>
      </c>
      <c r="E7" s="7">
        <f>868-D7-C7-B7</f>
        <v>224.40000000000003</v>
      </c>
      <c r="F7" s="7">
        <v>211.2</v>
      </c>
      <c r="G7" s="8">
        <v>220.7</v>
      </c>
      <c r="H7" s="8">
        <v>227.8</v>
      </c>
      <c r="I7" s="7">
        <f>890.8-H7-G7-F7</f>
        <v>231.10000000000002</v>
      </c>
      <c r="J7" s="9">
        <v>226.7</v>
      </c>
      <c r="K7" s="8">
        <v>233.8</v>
      </c>
      <c r="L7" s="6"/>
      <c r="M7" s="6"/>
      <c r="N7" s="6"/>
      <c r="O7" s="6"/>
      <c r="P7" s="6"/>
      <c r="Q7" s="6"/>
    </row>
    <row r="8" spans="1:17" x14ac:dyDescent="0.25">
      <c r="A8" s="3" t="s">
        <v>12</v>
      </c>
      <c r="B8" s="8">
        <f t="shared" ref="B8:F8" si="0">B7+B6</f>
        <v>1565.7</v>
      </c>
      <c r="C8" s="8">
        <f t="shared" si="0"/>
        <v>1689.9</v>
      </c>
      <c r="D8" s="8">
        <f t="shared" si="0"/>
        <v>1769.6</v>
      </c>
      <c r="E8" s="8">
        <f t="shared" si="0"/>
        <v>1779.7999999999997</v>
      </c>
      <c r="F8" s="8">
        <f t="shared" si="0"/>
        <v>1709.4</v>
      </c>
      <c r="G8" s="8">
        <f>G7+G6</f>
        <v>1808.5</v>
      </c>
      <c r="H8" s="8">
        <f t="shared" ref="H8:K8" si="1">H7+H6</f>
        <v>1841.8</v>
      </c>
      <c r="I8" s="8">
        <f t="shared" si="1"/>
        <v>1862.1</v>
      </c>
      <c r="J8" s="8">
        <f t="shared" si="1"/>
        <v>1839.2</v>
      </c>
      <c r="K8" s="8">
        <f t="shared" si="1"/>
        <v>1936.5</v>
      </c>
      <c r="L8" s="6"/>
      <c r="M8" s="6"/>
      <c r="N8" s="6"/>
      <c r="O8" s="6"/>
      <c r="P8" s="6"/>
      <c r="Q8" s="6"/>
    </row>
    <row r="9" spans="1:17" x14ac:dyDescent="0.25">
      <c r="A9" s="1"/>
      <c r="B9" s="7"/>
      <c r="C9" s="7"/>
      <c r="D9" s="7"/>
      <c r="E9" s="7"/>
      <c r="F9" s="7"/>
      <c r="G9" s="8"/>
      <c r="H9" s="8"/>
      <c r="I9" s="7"/>
      <c r="J9" s="9"/>
      <c r="K9" s="10">
        <f>K8/$K$33</f>
        <v>0.48584976667168445</v>
      </c>
      <c r="L9" s="6"/>
      <c r="M9" s="6"/>
      <c r="N9" s="6"/>
      <c r="O9" s="6"/>
      <c r="P9" s="6"/>
      <c r="Q9" s="6"/>
    </row>
    <row r="10" spans="1:17" x14ac:dyDescent="0.25">
      <c r="A10" s="4" t="s">
        <v>3</v>
      </c>
      <c r="B10" s="7"/>
      <c r="C10" s="7"/>
      <c r="D10" s="7"/>
      <c r="E10" s="7"/>
      <c r="F10" s="11">
        <f t="shared" ref="F10:J10" si="2">F8/B8-1</f>
        <v>9.178003448936578E-2</v>
      </c>
      <c r="G10" s="11">
        <f t="shared" si="2"/>
        <v>7.0181667554293004E-2</v>
      </c>
      <c r="H10" s="11">
        <f t="shared" si="2"/>
        <v>4.0800180831826349E-2</v>
      </c>
      <c r="I10" s="11">
        <f t="shared" si="2"/>
        <v>4.6241150691088917E-2</v>
      </c>
      <c r="J10" s="11">
        <f t="shared" si="2"/>
        <v>7.5933075933075855E-2</v>
      </c>
      <c r="K10" s="11">
        <f>K8/G8-1</f>
        <v>7.0776886922864213E-2</v>
      </c>
      <c r="L10" s="6"/>
      <c r="M10" s="6"/>
      <c r="N10" s="6"/>
      <c r="O10" s="6"/>
      <c r="P10" s="6"/>
      <c r="Q10" s="6"/>
    </row>
    <row r="11" spans="1:17" x14ac:dyDescent="0.25">
      <c r="A11" s="1" t="s">
        <v>1</v>
      </c>
      <c r="B11" s="7">
        <v>827</v>
      </c>
      <c r="C11" s="7">
        <v>936.3</v>
      </c>
      <c r="D11" s="7">
        <v>966.9</v>
      </c>
      <c r="E11" s="7">
        <f>3655.3-D11-C11-B11</f>
        <v>925.10000000000014</v>
      </c>
      <c r="F11" s="7">
        <v>920.8</v>
      </c>
      <c r="G11" s="8">
        <v>1047.2</v>
      </c>
      <c r="H11" s="8">
        <v>1071.8</v>
      </c>
      <c r="I11" s="7">
        <f>4087.4-H11-G11-F11</f>
        <v>1047.6000000000004</v>
      </c>
      <c r="J11" s="9">
        <v>1021.4</v>
      </c>
      <c r="K11" s="8">
        <v>1109.9000000000001</v>
      </c>
      <c r="L11" s="6"/>
      <c r="M11" s="6"/>
      <c r="N11" s="6"/>
      <c r="O11" s="6"/>
      <c r="P11" s="6"/>
      <c r="Q11" s="6"/>
    </row>
    <row r="12" spans="1:17" x14ac:dyDescent="0.25">
      <c r="A12" s="1" t="s">
        <v>2</v>
      </c>
      <c r="B12" s="7">
        <v>182.4</v>
      </c>
      <c r="C12" s="7">
        <v>193</v>
      </c>
      <c r="D12" s="7">
        <v>199.1</v>
      </c>
      <c r="E12" s="7">
        <f>776.8-D12-C12-B12</f>
        <v>202.29999999999993</v>
      </c>
      <c r="F12" s="7">
        <v>208</v>
      </c>
      <c r="G12" s="8">
        <v>225</v>
      </c>
      <c r="H12" s="8">
        <v>241.2</v>
      </c>
      <c r="I12" s="7">
        <f>911.8-H12-G12-F12</f>
        <v>237.59999999999991</v>
      </c>
      <c r="J12" s="9">
        <v>245.3</v>
      </c>
      <c r="K12" s="8">
        <v>254</v>
      </c>
      <c r="L12" s="6"/>
      <c r="M12" s="6"/>
      <c r="N12" s="6"/>
      <c r="O12" s="6"/>
      <c r="P12" s="6"/>
      <c r="Q12" s="6"/>
    </row>
    <row r="13" spans="1:17" x14ac:dyDescent="0.25">
      <c r="A13" s="3" t="s">
        <v>14</v>
      </c>
      <c r="B13" s="8">
        <f t="shared" ref="B13:K13" si="3">B12+B11</f>
        <v>1009.4</v>
      </c>
      <c r="C13" s="8">
        <f t="shared" si="3"/>
        <v>1129.3</v>
      </c>
      <c r="D13" s="8">
        <f t="shared" si="3"/>
        <v>1166</v>
      </c>
      <c r="E13" s="8">
        <f t="shared" si="3"/>
        <v>1127.4000000000001</v>
      </c>
      <c r="F13" s="8">
        <f t="shared" si="3"/>
        <v>1128.8</v>
      </c>
      <c r="G13" s="8">
        <f t="shared" si="3"/>
        <v>1272.2</v>
      </c>
      <c r="H13" s="8">
        <f t="shared" si="3"/>
        <v>1313</v>
      </c>
      <c r="I13" s="8">
        <f t="shared" si="3"/>
        <v>1285.2000000000003</v>
      </c>
      <c r="J13" s="8">
        <f t="shared" si="3"/>
        <v>1266.7</v>
      </c>
      <c r="K13" s="8">
        <f t="shared" si="3"/>
        <v>1363.9</v>
      </c>
      <c r="L13" s="6"/>
      <c r="M13" s="6"/>
      <c r="N13" s="6"/>
      <c r="O13" s="6"/>
      <c r="P13" s="6"/>
      <c r="Q13" s="6"/>
    </row>
    <row r="14" spans="1:17" x14ac:dyDescent="0.25">
      <c r="A14" s="1"/>
      <c r="B14" s="7"/>
      <c r="C14" s="7"/>
      <c r="D14" s="7"/>
      <c r="E14" s="7"/>
      <c r="F14" s="7"/>
      <c r="G14" s="8"/>
      <c r="H14" s="8"/>
      <c r="I14" s="7"/>
      <c r="J14" s="9"/>
      <c r="K14" s="10">
        <f>K13/$K$33</f>
        <v>0.34218977369662301</v>
      </c>
      <c r="L14" s="6"/>
      <c r="M14" s="6"/>
      <c r="N14" s="6"/>
      <c r="O14" s="6"/>
      <c r="P14" s="6"/>
      <c r="Q14" s="6"/>
    </row>
    <row r="15" spans="1:17" x14ac:dyDescent="0.25">
      <c r="A15" s="3" t="s">
        <v>4</v>
      </c>
      <c r="B15" s="7"/>
      <c r="C15" s="7"/>
      <c r="D15" s="7"/>
      <c r="E15" s="7"/>
      <c r="F15" s="11">
        <f t="shared" ref="F15" si="4">F13/B13-1</f>
        <v>0.11828809193580336</v>
      </c>
      <c r="G15" s="11">
        <f t="shared" ref="G15" si="5">G13/C13-1</f>
        <v>0.12653856371203398</v>
      </c>
      <c r="H15" s="11">
        <f t="shared" ref="H15" si="6">H13/D13-1</f>
        <v>0.12607204116638071</v>
      </c>
      <c r="I15" s="11">
        <f t="shared" ref="I15" si="7">I13/E13-1</f>
        <v>0.13996806812134133</v>
      </c>
      <c r="J15" s="11">
        <f t="shared" ref="J15" si="8">J13/F13-1</f>
        <v>0.12216513111268612</v>
      </c>
      <c r="K15" s="11">
        <f>K13/G13-1</f>
        <v>7.2079861656972222E-2</v>
      </c>
      <c r="L15" s="6"/>
      <c r="M15" s="6"/>
      <c r="N15" s="6"/>
      <c r="O15" s="6"/>
      <c r="P15" s="6"/>
      <c r="Q15" s="6"/>
    </row>
    <row r="16" spans="1:17" x14ac:dyDescent="0.25">
      <c r="A16" s="1" t="s">
        <v>1</v>
      </c>
      <c r="B16" s="7">
        <v>334</v>
      </c>
      <c r="C16" s="7">
        <v>360.2</v>
      </c>
      <c r="D16" s="7">
        <v>329.5</v>
      </c>
      <c r="E16" s="7">
        <f>1398.3-D16-C16-B16</f>
        <v>374.59999999999991</v>
      </c>
      <c r="F16" s="7">
        <v>352.6</v>
      </c>
      <c r="G16" s="8">
        <v>363.9</v>
      </c>
      <c r="H16" s="8">
        <v>378.5</v>
      </c>
      <c r="I16" s="7">
        <f>1476.3-H16-G16-F16</f>
        <v>381.29999999999995</v>
      </c>
      <c r="J16" s="9">
        <v>352.6</v>
      </c>
      <c r="K16" s="8">
        <v>360.5</v>
      </c>
      <c r="L16" s="6"/>
      <c r="M16" s="6"/>
      <c r="N16" s="6"/>
      <c r="O16" s="6"/>
      <c r="P16" s="6"/>
      <c r="Q16" s="6"/>
    </row>
    <row r="17" spans="1:22" x14ac:dyDescent="0.25">
      <c r="A17" s="1" t="s">
        <v>2</v>
      </c>
      <c r="B17" s="7">
        <v>28.8</v>
      </c>
      <c r="C17" s="7">
        <v>30.7</v>
      </c>
      <c r="D17" s="7">
        <v>27.1</v>
      </c>
      <c r="E17" s="7">
        <f>112.2-D17-C17-B17</f>
        <v>25.599999999999991</v>
      </c>
      <c r="F17" s="7">
        <v>27.1</v>
      </c>
      <c r="G17" s="8">
        <v>26.9</v>
      </c>
      <c r="H17" s="8">
        <v>27.7</v>
      </c>
      <c r="I17" s="7">
        <f>109.7-H17-G17-F17</f>
        <v>28</v>
      </c>
      <c r="J17" s="9">
        <v>27.3</v>
      </c>
      <c r="K17" s="8">
        <v>29.2</v>
      </c>
      <c r="L17" s="6"/>
      <c r="M17" s="6"/>
      <c r="N17" s="6"/>
      <c r="O17" s="6"/>
      <c r="P17" s="6"/>
      <c r="Q17" s="6"/>
    </row>
    <row r="18" spans="1:22" x14ac:dyDescent="0.25">
      <c r="A18" s="3" t="s">
        <v>15</v>
      </c>
      <c r="B18" s="8">
        <f t="shared" ref="B18:K18" si="9">B17+B16</f>
        <v>362.8</v>
      </c>
      <c r="C18" s="8">
        <f t="shared" si="9"/>
        <v>390.9</v>
      </c>
      <c r="D18" s="8">
        <f t="shared" si="9"/>
        <v>356.6</v>
      </c>
      <c r="E18" s="8">
        <f t="shared" si="9"/>
        <v>400.19999999999987</v>
      </c>
      <c r="F18" s="8">
        <f t="shared" si="9"/>
        <v>379.70000000000005</v>
      </c>
      <c r="G18" s="8">
        <f t="shared" si="9"/>
        <v>390.79999999999995</v>
      </c>
      <c r="H18" s="8">
        <f t="shared" si="9"/>
        <v>406.2</v>
      </c>
      <c r="I18" s="8">
        <f t="shared" si="9"/>
        <v>409.29999999999995</v>
      </c>
      <c r="J18" s="8">
        <f t="shared" si="9"/>
        <v>379.90000000000003</v>
      </c>
      <c r="K18" s="8">
        <f t="shared" si="9"/>
        <v>389.7</v>
      </c>
      <c r="L18" s="6"/>
      <c r="M18" s="6"/>
      <c r="N18" s="6"/>
      <c r="O18" s="6"/>
      <c r="P18" s="6"/>
      <c r="Q18" s="6"/>
    </row>
    <row r="19" spans="1:22" x14ac:dyDescent="0.25">
      <c r="A19" s="1"/>
      <c r="B19" s="7"/>
      <c r="C19" s="7"/>
      <c r="D19" s="7"/>
      <c r="E19" s="7"/>
      <c r="F19" s="7"/>
      <c r="G19" s="8"/>
      <c r="H19" s="8"/>
      <c r="I19" s="7"/>
      <c r="J19" s="9"/>
      <c r="K19" s="10">
        <f>K18/$K$33</f>
        <v>9.7772090922775848E-2</v>
      </c>
      <c r="L19" s="6"/>
      <c r="M19" s="6"/>
      <c r="N19" s="6"/>
      <c r="O19" s="6"/>
      <c r="P19" s="6"/>
      <c r="Q19" s="6"/>
    </row>
    <row r="20" spans="1:22" x14ac:dyDescent="0.25">
      <c r="A20" s="3" t="s">
        <v>5</v>
      </c>
      <c r="B20" s="7"/>
      <c r="C20" s="7"/>
      <c r="D20" s="7"/>
      <c r="E20" s="7"/>
      <c r="F20" s="11"/>
      <c r="G20" s="11"/>
      <c r="H20" s="11"/>
      <c r="I20" s="11"/>
      <c r="J20" s="11"/>
      <c r="K20" s="11"/>
      <c r="L20" s="6"/>
      <c r="M20" s="6"/>
      <c r="N20" s="6"/>
      <c r="O20" s="6"/>
      <c r="P20" s="6"/>
      <c r="Q20" s="6"/>
    </row>
    <row r="21" spans="1:22" x14ac:dyDescent="0.25">
      <c r="A21" s="1" t="s">
        <v>1</v>
      </c>
      <c r="B21" s="7">
        <v>70</v>
      </c>
      <c r="C21" s="7">
        <v>85</v>
      </c>
      <c r="D21" s="7">
        <v>87.1</v>
      </c>
      <c r="E21" s="7">
        <f>331.9-D21-C21-B21</f>
        <v>89.799999999999983</v>
      </c>
      <c r="F21" s="7">
        <v>81</v>
      </c>
      <c r="G21" s="8">
        <v>89.2</v>
      </c>
      <c r="H21" s="8">
        <v>91.6</v>
      </c>
      <c r="I21" s="7">
        <f>353.1-H21-G21-F21</f>
        <v>91.300000000000011</v>
      </c>
      <c r="J21" s="9">
        <v>0</v>
      </c>
      <c r="K21" s="8">
        <v>0</v>
      </c>
      <c r="L21" s="6"/>
      <c r="M21" s="6"/>
      <c r="N21" s="6"/>
      <c r="O21" s="6"/>
      <c r="P21" s="6"/>
      <c r="Q21" s="6"/>
    </row>
    <row r="22" spans="1:22" x14ac:dyDescent="0.25">
      <c r="A22" s="1" t="s">
        <v>2</v>
      </c>
      <c r="B22" s="7">
        <v>224</v>
      </c>
      <c r="C22" s="7">
        <v>251.6</v>
      </c>
      <c r="D22" s="7">
        <v>262.3</v>
      </c>
      <c r="E22" s="7">
        <f>984.5-D22-C22-B22</f>
        <v>246.60000000000002</v>
      </c>
      <c r="F22" s="7">
        <v>249</v>
      </c>
      <c r="G22" s="8">
        <v>274.7</v>
      </c>
      <c r="H22" s="8">
        <v>290.5</v>
      </c>
      <c r="I22" s="7">
        <f>1091.1-H22-G22-F22</f>
        <v>276.89999999999986</v>
      </c>
      <c r="J22" s="9">
        <v>266.10000000000002</v>
      </c>
      <c r="K22" s="8">
        <v>295.7</v>
      </c>
      <c r="L22" s="6"/>
      <c r="M22" s="6"/>
      <c r="N22" s="6"/>
      <c r="O22" s="6"/>
      <c r="P22" s="6"/>
      <c r="Q22" s="6"/>
    </row>
    <row r="23" spans="1:22" x14ac:dyDescent="0.25">
      <c r="A23" s="3" t="s">
        <v>16</v>
      </c>
      <c r="B23" s="8">
        <f t="shared" ref="B23:K23" si="10">B22+B21</f>
        <v>294</v>
      </c>
      <c r="C23" s="8">
        <f t="shared" si="10"/>
        <v>336.6</v>
      </c>
      <c r="D23" s="8">
        <f t="shared" si="10"/>
        <v>349.4</v>
      </c>
      <c r="E23" s="8">
        <f t="shared" si="10"/>
        <v>336.4</v>
      </c>
      <c r="F23" s="8">
        <f t="shared" si="10"/>
        <v>330</v>
      </c>
      <c r="G23" s="8">
        <f t="shared" si="10"/>
        <v>363.9</v>
      </c>
      <c r="H23" s="8">
        <f t="shared" si="10"/>
        <v>382.1</v>
      </c>
      <c r="I23" s="8">
        <f t="shared" si="10"/>
        <v>368.19999999999987</v>
      </c>
      <c r="J23" s="8">
        <f t="shared" si="10"/>
        <v>266.10000000000002</v>
      </c>
      <c r="K23" s="8">
        <f t="shared" si="10"/>
        <v>295.7</v>
      </c>
      <c r="L23" s="6"/>
      <c r="M23" s="6"/>
      <c r="N23" s="6"/>
      <c r="O23" s="6"/>
      <c r="P23" s="6"/>
      <c r="Q23" s="6"/>
      <c r="V23" s="175"/>
    </row>
    <row r="24" spans="1:22" x14ac:dyDescent="0.25">
      <c r="A24" s="1"/>
      <c r="B24" s="7"/>
      <c r="C24" s="7"/>
      <c r="D24" s="7"/>
      <c r="E24" s="7"/>
      <c r="F24" s="7"/>
      <c r="G24" s="8"/>
      <c r="H24" s="8"/>
      <c r="I24" s="7"/>
      <c r="J24" s="9"/>
      <c r="K24" s="10">
        <f>K23/$K$33</f>
        <v>7.4188368708916652E-2</v>
      </c>
      <c r="L24" s="6"/>
      <c r="M24" s="6"/>
      <c r="N24" s="6"/>
      <c r="O24" s="6"/>
      <c r="P24" s="6"/>
      <c r="Q24" s="6"/>
    </row>
    <row r="25" spans="1:22" x14ac:dyDescent="0.25">
      <c r="A25" s="3" t="s">
        <v>6</v>
      </c>
      <c r="B25" s="7"/>
      <c r="C25" s="7"/>
      <c r="D25" s="7"/>
      <c r="E25" s="7"/>
      <c r="F25" s="11"/>
      <c r="G25" s="11"/>
      <c r="H25" s="11"/>
      <c r="I25" s="11"/>
      <c r="J25" s="11"/>
      <c r="K25" s="11"/>
      <c r="L25" s="6"/>
      <c r="M25" s="6"/>
      <c r="N25" s="6"/>
      <c r="O25" s="6"/>
      <c r="P25" s="6"/>
      <c r="Q25" s="6"/>
      <c r="V25" s="252"/>
    </row>
    <row r="26" spans="1:22" x14ac:dyDescent="0.25">
      <c r="A26" s="1" t="s">
        <v>1</v>
      </c>
      <c r="B26" s="7">
        <v>34.700000000000003</v>
      </c>
      <c r="C26" s="7">
        <v>33.9</v>
      </c>
      <c r="D26" s="7">
        <v>27.7</v>
      </c>
      <c r="E26" s="7">
        <f>123.7-D26-C26-B26</f>
        <v>27.4</v>
      </c>
      <c r="F26" s="7">
        <v>23.7</v>
      </c>
      <c r="G26" s="8">
        <v>16.7</v>
      </c>
      <c r="H26" s="8">
        <v>15</v>
      </c>
      <c r="I26" s="7">
        <f>69-H26-G26-F26</f>
        <v>13.599999999999998</v>
      </c>
      <c r="J26" s="9">
        <v>0</v>
      </c>
      <c r="K26" s="8">
        <v>0</v>
      </c>
      <c r="L26" s="6"/>
      <c r="M26" s="6"/>
      <c r="N26" s="6"/>
      <c r="O26" s="6"/>
      <c r="P26" s="6"/>
      <c r="Q26" s="6"/>
    </row>
    <row r="27" spans="1:22" x14ac:dyDescent="0.25">
      <c r="A27" s="1" t="s">
        <v>2</v>
      </c>
      <c r="B27" s="7">
        <v>0.1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  <c r="H27" s="8">
        <v>0</v>
      </c>
      <c r="I27" s="7">
        <v>0</v>
      </c>
      <c r="J27" s="9">
        <v>0</v>
      </c>
      <c r="K27" s="8">
        <v>0</v>
      </c>
      <c r="L27" s="6"/>
      <c r="M27" s="6"/>
      <c r="O27" s="6"/>
      <c r="P27" s="6"/>
      <c r="Q27" s="6"/>
    </row>
    <row r="28" spans="1:22" x14ac:dyDescent="0.25">
      <c r="A28" s="3" t="s">
        <v>17</v>
      </c>
      <c r="B28" s="8">
        <f t="shared" ref="B28:K28" si="11">B27+B26</f>
        <v>34.800000000000004</v>
      </c>
      <c r="C28" s="8">
        <f t="shared" si="11"/>
        <v>33.9</v>
      </c>
      <c r="D28" s="8">
        <f t="shared" si="11"/>
        <v>27.7</v>
      </c>
      <c r="E28" s="8">
        <f t="shared" si="11"/>
        <v>27.4</v>
      </c>
      <c r="F28" s="8">
        <f t="shared" si="11"/>
        <v>23.7</v>
      </c>
      <c r="G28" s="8">
        <f t="shared" si="11"/>
        <v>16.7</v>
      </c>
      <c r="H28" s="8">
        <f t="shared" si="11"/>
        <v>15</v>
      </c>
      <c r="I28" s="8">
        <f t="shared" si="11"/>
        <v>13.599999999999998</v>
      </c>
      <c r="J28" s="8">
        <f t="shared" si="11"/>
        <v>0</v>
      </c>
      <c r="K28" s="8">
        <f t="shared" si="11"/>
        <v>0</v>
      </c>
      <c r="L28" s="6"/>
      <c r="M28" s="6"/>
      <c r="N28" s="6"/>
      <c r="O28" s="6"/>
      <c r="P28" s="6"/>
      <c r="Q28" s="6"/>
    </row>
    <row r="29" spans="1:22" x14ac:dyDescent="0.25">
      <c r="A29" s="1"/>
      <c r="B29" s="7"/>
      <c r="C29" s="7"/>
      <c r="D29" s="7"/>
      <c r="E29" s="7"/>
      <c r="F29" s="7"/>
      <c r="G29" s="8"/>
      <c r="H29" s="8"/>
      <c r="I29" s="7"/>
      <c r="J29" s="9"/>
      <c r="K29" s="10"/>
      <c r="L29" s="6"/>
      <c r="M29" s="6"/>
      <c r="N29" s="6"/>
      <c r="O29" s="6"/>
      <c r="P29" s="6"/>
      <c r="Q29" s="6"/>
    </row>
    <row r="30" spans="1:22" x14ac:dyDescent="0.25">
      <c r="A30" s="3" t="s">
        <v>7</v>
      </c>
      <c r="B30" s="7"/>
      <c r="C30" s="7"/>
      <c r="D30" s="7"/>
      <c r="E30" s="7"/>
      <c r="F30" s="7"/>
      <c r="G30" s="9"/>
      <c r="H30" s="9"/>
      <c r="I30" s="7"/>
      <c r="J30" s="9"/>
      <c r="K30" s="9"/>
      <c r="L30" s="6"/>
      <c r="M30" s="6"/>
      <c r="N30" s="6"/>
      <c r="O30" s="6"/>
      <c r="P30" s="6"/>
      <c r="Q30" s="6"/>
    </row>
    <row r="31" spans="1:22" ht="14.25" customHeight="1" x14ac:dyDescent="0.25">
      <c r="A31" s="2" t="s">
        <v>8</v>
      </c>
      <c r="B31" s="7">
        <v>2624.1</v>
      </c>
      <c r="C31" s="7">
        <v>2886.8</v>
      </c>
      <c r="D31" s="7">
        <v>2963</v>
      </c>
      <c r="E31" s="7">
        <f>11446.2-D31-C31-B31</f>
        <v>2972.3000000000006</v>
      </c>
      <c r="F31" s="7">
        <v>2876.3</v>
      </c>
      <c r="G31" s="8">
        <v>3104.8</v>
      </c>
      <c r="H31" s="8">
        <v>3170.9</v>
      </c>
      <c r="I31" s="7">
        <f>12316.8-H31-G31-F31</f>
        <v>3164.7999999999993</v>
      </c>
      <c r="J31" s="9">
        <v>2986.5</v>
      </c>
      <c r="K31" s="8">
        <v>3173.1</v>
      </c>
      <c r="L31" s="6"/>
      <c r="M31" s="6"/>
      <c r="N31" s="6"/>
      <c r="O31" s="6"/>
      <c r="P31" s="6"/>
      <c r="Q31" s="6"/>
    </row>
    <row r="32" spans="1:22" ht="14.25" customHeight="1" x14ac:dyDescent="0.25">
      <c r="A32" s="2" t="s">
        <v>9</v>
      </c>
      <c r="B32" s="7">
        <v>642.6</v>
      </c>
      <c r="C32" s="7">
        <v>693.8</v>
      </c>
      <c r="D32" s="7">
        <v>706.3</v>
      </c>
      <c r="E32" s="7">
        <f>2741.6-D32-C32-B32</f>
        <v>698.9</v>
      </c>
      <c r="F32" s="7">
        <v>695.3</v>
      </c>
      <c r="G32" s="8">
        <v>747.3</v>
      </c>
      <c r="H32" s="8">
        <v>787.2</v>
      </c>
      <c r="I32" s="7">
        <f>3003.4-H32-G32-F32</f>
        <v>773.59999999999991</v>
      </c>
      <c r="J32" s="9">
        <v>765.4</v>
      </c>
      <c r="K32" s="8">
        <v>812.7</v>
      </c>
      <c r="L32" s="6"/>
      <c r="M32" s="6"/>
      <c r="N32" s="6"/>
      <c r="O32" s="6"/>
      <c r="P32" s="6"/>
      <c r="Q32" s="6"/>
    </row>
    <row r="33" spans="1:17" x14ac:dyDescent="0.25">
      <c r="A33" s="175" t="s">
        <v>18</v>
      </c>
      <c r="B33" s="8">
        <f t="shared" ref="B33:K33" si="12">B32+B31</f>
        <v>3266.7</v>
      </c>
      <c r="C33" s="8">
        <f t="shared" si="12"/>
        <v>3580.6000000000004</v>
      </c>
      <c r="D33" s="8">
        <f t="shared" si="12"/>
        <v>3669.3</v>
      </c>
      <c r="E33" s="8">
        <f t="shared" si="12"/>
        <v>3671.2000000000007</v>
      </c>
      <c r="F33" s="8">
        <f t="shared" si="12"/>
        <v>3571.6000000000004</v>
      </c>
      <c r="G33" s="8">
        <f t="shared" si="12"/>
        <v>3852.1000000000004</v>
      </c>
      <c r="H33" s="8">
        <f t="shared" si="12"/>
        <v>3958.1000000000004</v>
      </c>
      <c r="I33" s="8">
        <f t="shared" si="12"/>
        <v>3938.3999999999992</v>
      </c>
      <c r="J33" s="8">
        <f t="shared" si="12"/>
        <v>3751.9</v>
      </c>
      <c r="K33" s="8">
        <f t="shared" si="12"/>
        <v>3985.8</v>
      </c>
      <c r="L33" s="6"/>
      <c r="M33" s="6"/>
      <c r="N33" s="6"/>
      <c r="O33" s="6"/>
      <c r="P33" s="6"/>
      <c r="Q33" s="6"/>
    </row>
    <row r="34" spans="1:17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46" spans="1:17" ht="15.75" x14ac:dyDescent="0.25">
      <c r="L46" s="176" t="s">
        <v>166</v>
      </c>
    </row>
    <row r="48" spans="1:17" x14ac:dyDescent="0.25">
      <c r="L48" t="s">
        <v>167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32A1-6D85-43FB-8DFA-DC366BA0FD1C}">
  <dimension ref="A2:N36"/>
  <sheetViews>
    <sheetView workbookViewId="0">
      <selection activeCell="G37" sqref="G37"/>
    </sheetView>
  </sheetViews>
  <sheetFormatPr defaultColWidth="8.85546875" defaultRowHeight="15" x14ac:dyDescent="0.25"/>
  <cols>
    <col min="1" max="1" width="26.42578125" bestFit="1" customWidth="1"/>
    <col min="9" max="9" width="26.42578125" bestFit="1" customWidth="1"/>
  </cols>
  <sheetData>
    <row r="2" spans="1:14" x14ac:dyDescent="0.25">
      <c r="B2" s="275" t="s">
        <v>0</v>
      </c>
      <c r="C2" s="275"/>
      <c r="D2" s="275"/>
      <c r="E2" s="275"/>
      <c r="F2" s="275"/>
      <c r="J2" s="275" t="s">
        <v>3</v>
      </c>
      <c r="K2" s="275"/>
      <c r="L2" s="275"/>
      <c r="M2" s="275"/>
      <c r="N2" s="275"/>
    </row>
    <row r="3" spans="1:14" x14ac:dyDescent="0.25">
      <c r="A3" s="1" t="s">
        <v>158</v>
      </c>
      <c r="B3">
        <v>2019</v>
      </c>
      <c r="C3">
        <f>B3+1</f>
        <v>2020</v>
      </c>
      <c r="D3">
        <f>C3+1</f>
        <v>2021</v>
      </c>
      <c r="E3">
        <f>D3+1</f>
        <v>2022</v>
      </c>
      <c r="F3">
        <f>E3+1</f>
        <v>2023</v>
      </c>
      <c r="I3" s="1" t="s">
        <v>158</v>
      </c>
      <c r="J3">
        <v>2019</v>
      </c>
      <c r="K3">
        <f>J3+1</f>
        <v>2020</v>
      </c>
      <c r="L3">
        <f>K3+1</f>
        <v>2021</v>
      </c>
      <c r="M3">
        <f>L3+1</f>
        <v>2022</v>
      </c>
      <c r="N3">
        <f>M3+1</f>
        <v>2023</v>
      </c>
    </row>
    <row r="5" spans="1:14" x14ac:dyDescent="0.25">
      <c r="A5" s="1" t="s">
        <v>159</v>
      </c>
      <c r="B5">
        <v>2668.1</v>
      </c>
      <c r="C5">
        <v>2564.3000000000002</v>
      </c>
      <c r="D5">
        <v>2603</v>
      </c>
      <c r="E5">
        <v>2945.1</v>
      </c>
      <c r="F5">
        <v>3059.3</v>
      </c>
      <c r="I5" s="1" t="s">
        <v>159</v>
      </c>
      <c r="J5">
        <v>3021.3</v>
      </c>
      <c r="K5">
        <v>2400.4</v>
      </c>
      <c r="L5">
        <v>2721.8</v>
      </c>
      <c r="M5">
        <v>3050</v>
      </c>
      <c r="N5">
        <v>3454.2</v>
      </c>
    </row>
    <row r="6" spans="1:14" x14ac:dyDescent="0.25">
      <c r="A6" s="1" t="s">
        <v>160</v>
      </c>
      <c r="B6">
        <v>1204.2</v>
      </c>
      <c r="C6">
        <v>1262.5999999999999</v>
      </c>
      <c r="D6">
        <v>1367.1</v>
      </c>
      <c r="E6">
        <v>1373.6</v>
      </c>
      <c r="F6">
        <v>1496.6</v>
      </c>
      <c r="I6" s="1" t="s">
        <v>160</v>
      </c>
      <c r="J6">
        <v>622.29999999999995</v>
      </c>
      <c r="K6">
        <v>510.3</v>
      </c>
      <c r="L6">
        <v>557.9</v>
      </c>
      <c r="M6">
        <v>624</v>
      </c>
      <c r="N6">
        <v>681.9</v>
      </c>
    </row>
    <row r="7" spans="1:14" x14ac:dyDescent="0.25">
      <c r="A7" s="1" t="s">
        <v>161</v>
      </c>
      <c r="B7">
        <v>774.3</v>
      </c>
      <c r="C7">
        <v>747.2</v>
      </c>
      <c r="D7">
        <v>802.5</v>
      </c>
      <c r="E7">
        <v>830.1</v>
      </c>
      <c r="F7">
        <v>880</v>
      </c>
      <c r="I7" s="1" t="s">
        <v>161</v>
      </c>
      <c r="J7">
        <v>235.7</v>
      </c>
      <c r="K7">
        <v>203.9</v>
      </c>
      <c r="L7">
        <v>201.5</v>
      </c>
      <c r="M7">
        <v>212.6</v>
      </c>
      <c r="N7">
        <v>231.2</v>
      </c>
    </row>
    <row r="8" spans="1:14" x14ac:dyDescent="0.25">
      <c r="A8" s="1" t="s">
        <v>162</v>
      </c>
      <c r="B8">
        <v>525.79999999999995</v>
      </c>
      <c r="C8">
        <v>491.7</v>
      </c>
      <c r="D8">
        <v>551.5</v>
      </c>
      <c r="E8">
        <v>621.70000000000005</v>
      </c>
      <c r="F8">
        <v>737.2</v>
      </c>
      <c r="I8" s="1" t="s">
        <v>162</v>
      </c>
      <c r="J8">
        <v>162.19999999999999</v>
      </c>
      <c r="K8">
        <v>128.30000000000001</v>
      </c>
      <c r="L8">
        <v>135</v>
      </c>
      <c r="M8">
        <v>162.30000000000001</v>
      </c>
      <c r="N8">
        <v>188.3</v>
      </c>
    </row>
    <row r="9" spans="1:14" x14ac:dyDescent="0.25">
      <c r="A9" s="1" t="s">
        <v>163</v>
      </c>
      <c r="B9">
        <v>325.39999999999998</v>
      </c>
      <c r="C9">
        <v>333</v>
      </c>
      <c r="D9">
        <v>394.9</v>
      </c>
      <c r="E9">
        <v>419.3</v>
      </c>
      <c r="F9">
        <v>391.4</v>
      </c>
      <c r="I9" s="1" t="s">
        <v>163</v>
      </c>
      <c r="J9">
        <v>119.4</v>
      </c>
      <c r="K9">
        <v>114.9</v>
      </c>
      <c r="L9">
        <v>132.30000000000001</v>
      </c>
      <c r="M9">
        <v>134.69999999999999</v>
      </c>
      <c r="N9">
        <v>158.5</v>
      </c>
    </row>
    <row r="10" spans="1:14" x14ac:dyDescent="0.25">
      <c r="A10" s="1" t="s">
        <v>164</v>
      </c>
      <c r="B10">
        <v>319</v>
      </c>
      <c r="C10">
        <v>314.10000000000002</v>
      </c>
      <c r="D10">
        <v>344.4</v>
      </c>
      <c r="E10">
        <v>419.4</v>
      </c>
      <c r="F10">
        <v>452.1</v>
      </c>
      <c r="I10" s="1" t="s">
        <v>164</v>
      </c>
      <c r="J10">
        <v>52.2</v>
      </c>
      <c r="K10">
        <v>39.799999999999997</v>
      </c>
      <c r="L10">
        <v>44.2</v>
      </c>
      <c r="M10">
        <v>54.6</v>
      </c>
      <c r="N10">
        <v>67</v>
      </c>
    </row>
    <row r="11" spans="1:14" x14ac:dyDescent="0.25">
      <c r="A11" s="1" t="s">
        <v>165</v>
      </c>
      <c r="B11">
        <v>163.4</v>
      </c>
      <c r="C11">
        <v>157.9</v>
      </c>
      <c r="D11">
        <v>174.4</v>
      </c>
      <c r="E11">
        <v>195.8</v>
      </c>
      <c r="F11">
        <v>205.2</v>
      </c>
      <c r="I11" s="1" t="s">
        <v>165</v>
      </c>
      <c r="J11">
        <v>188.4</v>
      </c>
      <c r="K11">
        <v>155.6</v>
      </c>
      <c r="L11">
        <v>163.5</v>
      </c>
      <c r="M11">
        <v>193.9</v>
      </c>
      <c r="N11">
        <v>218.1</v>
      </c>
    </row>
    <row r="12" spans="1:14" x14ac:dyDescent="0.25">
      <c r="A12" s="1" t="s">
        <v>7</v>
      </c>
      <c r="B12">
        <v>5980.2</v>
      </c>
      <c r="C12">
        <v>5870.8</v>
      </c>
      <c r="D12">
        <v>6237.8</v>
      </c>
      <c r="E12">
        <v>6805</v>
      </c>
      <c r="F12">
        <v>7221.8</v>
      </c>
      <c r="I12" s="1" t="s">
        <v>7</v>
      </c>
      <c r="J12">
        <v>4401.5</v>
      </c>
      <c r="K12">
        <v>3553.2</v>
      </c>
      <c r="L12">
        <v>3955.9</v>
      </c>
      <c r="M12">
        <v>4432.1000000000004</v>
      </c>
      <c r="N12">
        <v>4999.2</v>
      </c>
    </row>
    <row r="14" spans="1:14" x14ac:dyDescent="0.25">
      <c r="B14" s="275"/>
      <c r="C14" s="275"/>
      <c r="D14" s="275"/>
      <c r="E14" s="275"/>
      <c r="F14" s="275"/>
      <c r="J14" s="275"/>
      <c r="K14" s="275"/>
      <c r="L14" s="275"/>
      <c r="M14" s="275"/>
      <c r="N14" s="275"/>
    </row>
    <row r="15" spans="1:14" x14ac:dyDescent="0.25">
      <c r="A15" s="1"/>
      <c r="I15" s="1"/>
    </row>
    <row r="17" spans="1:9" x14ac:dyDescent="0.25">
      <c r="A17" s="1"/>
      <c r="I17" s="1"/>
    </row>
    <row r="18" spans="1:9" x14ac:dyDescent="0.25">
      <c r="A18" s="1"/>
      <c r="I18" s="1"/>
    </row>
    <row r="19" spans="1:9" x14ac:dyDescent="0.25">
      <c r="A19" s="1"/>
      <c r="I19" s="1"/>
    </row>
    <row r="20" spans="1:9" x14ac:dyDescent="0.25">
      <c r="A20" s="1"/>
      <c r="I20" s="1"/>
    </row>
    <row r="21" spans="1:9" x14ac:dyDescent="0.25">
      <c r="A21" s="1"/>
      <c r="I21" s="1"/>
    </row>
    <row r="22" spans="1:9" x14ac:dyDescent="0.25">
      <c r="A22" s="1"/>
      <c r="I22" s="1"/>
    </row>
    <row r="23" spans="1:9" x14ac:dyDescent="0.25">
      <c r="A23" s="1"/>
      <c r="I23" s="1"/>
    </row>
    <row r="24" spans="1:9" x14ac:dyDescent="0.25">
      <c r="A24" s="1"/>
      <c r="I24" s="1"/>
    </row>
    <row r="26" spans="1:9" x14ac:dyDescent="0.25">
      <c r="B26" s="275"/>
      <c r="C26" s="275"/>
      <c r="D26" s="275"/>
      <c r="E26" s="275"/>
      <c r="F26" s="275"/>
    </row>
    <row r="27" spans="1:9" x14ac:dyDescent="0.25">
      <c r="A27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5">
    <mergeCell ref="B2:F2"/>
    <mergeCell ref="B14:F14"/>
    <mergeCell ref="B26:F26"/>
    <mergeCell ref="J2:N2"/>
    <mergeCell ref="J14:N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840963"><![CDATA[{"KEMIRA-FI^FE_VALUATION(PE,MEAN,ANN,+2,NOW,,,'')":12.035902,"VIE-FR^FE_VALUATION(PE,MEAN,ANN,+2,NOW,,,'')":12.328158,"PNR-US^FE_VALUATION(PE,MEAN,ANN,+2,NOW,,,'')":17.421053,"STE-US^FE_VALUATION(PE,MEAN,ANN,+2,NOW,,,'')":22.977938,"CLX-US^FE_VALUATION(PE,MEAN,ANN,+2,NOW,,,'')":20.44086,"DOV-US^FE_VALUATION(PE,MEAN,ANN,+2,NOW,,,'')":18.140156,"XYL-US^FE_VALUATION(PE,MEAN,ANN,+2,NOW,,,'')":27.396307,"DD-US^FE_VALUATION(PE,MEAN,ANN,+2,NOW,,,'')":17.978437,"ECL-US^FE_VALUATION(PE,MEAN,ANN,+2,NOW,,,'')":31.946083,"ECL-US^FREF_SHARES_COMPANY(0,,,,0,\"LEGACY\")":284.537628173828,"KEMIRA-FI^FF_EBITDA_OPER(ANN_R,-1AY,,,,USD)":570.78418,"VIE-FR^FF_EBITDA_OPER(ANN_R,0Y,,,,USD)":6482.36916,"PNR-US^FF_NET_INC(ANN_R,-1AY,,,,USD)":483.2,"STE-US^FF_NET_INC(ANN_R,0Y,,,,USD)":551.44,"STE-US^FF_SALES(ANN_R,-2AY,,,,USD)":4585.064,"CLX-US^FF_SALES(ANN_R,-1AY,,,,USD)":7389.0,"DOV-US^FF_SALES(ANN_R,0Y,,,,USD)":8438.134,"XYL-US^FF_EBITDA_OPER(ANN_R,-1AY,,,,USD)":901.0,"DD-US^FF_EBITDA_OPER(ANN_R,0Y,,,,USD)":2864.0,"ECL-US^FF_NET_INC(ANN_R,-1AY,,,,USD)":1091.7,"KEMIRA-FI^FF_DEBT(QTR_R,0)":753.1,"STE-US^FF_CASH_ST(QTR_R,0)":198.328,"XYL-US^FF_CASH_ST(QTR_R,0)":815.0,"KEMIRA-FI^FG_PRICE(0,,,USD)":22.54745,"PNR-US^FG_PRICE(0,,,USD)":84.81,"CLX-US^FG_PRICE(0,,,USD)":143.63,"XYL-US^FG_PRICE(0,,,USD)":131.71,"ECL-US^FG_PRICE(0,,,USD)":241.33,"STE-US^FF_EBITDA_OPER(ANN_R,-1AY,,,,USD)":1364.057,"CLX-US^FF_EBITDA_OPER(ANN_R,-1AY,,,,USD)":1063.0,"XYL-US^FF_EBITDA_OPER(ANN_R,0Y,,,,USD)":1171.0,"XYL-US^FCS_SHARES(TOT,SHS,ANN,0,,,,,M)":243.672389,"KEMIRA-FI^FE_VALUATION(PE,MEAN,ANN,+1,NOW,,,'')":11.392082,"VIE-FR^FE_VALUATION(PE,MEAN,ANN,+1,NOW,,,'')":13.666978,"PNR-US^FE_VALUATION(PE,MEAN,ANN,+1,NOW,,,'')":19.653843,"STE-US^FE_VALUATION(PE,MEAN,ANN,+1,NOW,,,'')":25.33952,"CLX-US^FE_VALUATION(PE,MEAN,ANN,+1,NOW,,,'')":21.855902,"DOV-US^FE_VALUATION(PE,MEAN,ANN,+1,NOW,,,'')":19.270767,"XYL-US^FE_VALUATION(PE,MEAN,ANN,+1,NOW,,,'')":30.942019,"DD-US^FE_VALUATION(PE,MEAN,ANN,+1,NOW,,,'')":20.914091,"ECL-US^FE_VALUATION(PE,MEAN,ANN,+1,NOW,,,'')":36.009483,"ECL-US^FF_DEBT(QTR_R,0)":8115.3,"KEMIRA-FI^FF_SALES(ANN_R,0Y,,,,USD)":3658.17086738348,"VIE-FR^FF_EBITDA_OPER(ANN_R,-1AY,,,,USD)":6283.46046,"PNR-US^FF_EBITDA_OPER(ANN_R,0Y,,,,USD)":904.7,"STE-US^FF_NET_INC(ANN_R,-1AY,,,,USD)":557.414,"CLX-US^FF_NET_INC(ANN_R,0Y,,,,USD)":280.0,"CLX-US^FF_SALES(ANN_R,-2AY,,,,USD)":7107.0,"DOV-US^FF_SALES(ANN_R,-1AY,,,,USD)":8508.088,"XYL-US^FF_SALES(ANN_R,0Y,,,,USD)":7367.0,"DD-US^FF_EBITDA_OPER(ANN_R,-1AY,,,,USD)":3157.0,"ECL-US^FF_EBITDA_OPER(ANN_R,0Y,,,,USD)":3084.3,"XYL-US^FG_COMPANY_NAME":"Xylem Inc.","VIE-FR^FF_DEBT(QTR_R,0)":null,"PNR-US^FE_VALUATION(FFEV_EBITDA,MEAN,ANN,+1,NOW,,,'')":15.246924,"DD-US^FE_VALUATION(FFEV_EBITDA,MEAN,ANN,+1,NOW,,,'')":13.149066,"VIE-FR^FF_SALES(ANN_R,-1AY,,,,USD)":45071.3511089802,"DOV-US^FF_NET_INC(ANN_R,-1AY,,,,USD)":1065.376,"DD-US^FF_SALES(ANN_R,-1AY,,,,USD)":13017.0,"DD-US^FF_SALES(ANN_R,-2AY,,,,USD)":12566.0,"DD-US^FF_NET_INC(ANN_R,-1AY,,,,USD)":1012.0,"ECL-US^FF_EPS(ANN_R,NOW,,,,USD)":4.7899,"KEMIRA-FI^FF_CASH_ST(QTR_R,0)":384.6,"CLX-US^FF_DEBT(QTR_R,0)":3447.0,"DD-US^FF_DEBT(QTR_R,0)":7617.0,"KEMIRA-FI^FG_COMPANY_NAME":"Kemira Oyj","PNR-US^FG_COMPANY_NAME":"Pentair plc","CLX-US^FG_COMPANY_NAME":"Clorox Company","ECL-US^FG_COMPANY_NAME":"Ecolab Inc.","CLX-US^FF_CASH_ST(QTR_R,0)":202.0,"DD-US^FF_CASH_ST(QTR_R,0)":1509.0,"STE-US^FCS_SHARES(TOT,SHS,ANN,0,,,,,M)":99.845627,"DD-US^FCS_SHARES(TOT,SHS,ANN,0,,,,,M)":432.723204,"VIE-FR^FE_VALUATION(FFEV_EBITDA,MEAN,ANN,+1,NOW,,,'')":7.212047,"CLX-US^FE_VALUATION(FFEV_EBITDA,MEAN,ANN,+1,NOW,,,'')":15.4531975,"DOV-US^FE_VALUATION(FFEV_EBITDA,MEAN,ANN,+1,NOW,,,'')":14.777797,"ECL-US^FE_VALUATION(FFEV_EBITDA,MEAN,ANN,+1,NOW,,,'')":21.46796,"PNR-US^FF_SALES(ANN_R,0Y,,,,USD)":4104.5,"XYL-US^FF_SALES(ANN_R,-2AY,,,,USD)":5199.0,"XYL-US^FF_NET_INC(ANN_R,-1AY,,,,USD)":355.0,"PNR-US^FCS_SHARES(TOT,SHS,ANN,0,,,,,M)":167.208836,"KEMIRA-FI^FE_VALUATION(FFEV_EBITDA,MEAN,ANN,+2,NOW,,,'')":6.300816,"VIE-FR^FE_VALUATION(FFEV_EBITDA,MEAN,ANN,+2,NOW,,,'')":6.800306,"PNR-US^FE_VALUATION(FFEV_EBITDA,MEAN,ANN,+2,NOW,,,'')":14.022465,"STE-US^FE_VALUATION(FFEV_EBITDA,MEAN,ANN,+2,NOW,,,'')":15.158103,"CLX-US^FE_VALUATION(FFEV_EBITDA,MEAN,ANN,+2,NOW,,,'')":14.511207,"DOV-US^FE_VALUATION(FFEV_EBITDA,MEAN,ANN,+2,NOW,,,'')":14.305359,"XYL-US^FE_VALUATION(FFEV_EBITDA,MEAN,ANN,+2,NOW,,,'')":17.327179,"DD-US^FE_VALUATION(FFEV_EBITDA,MEAN,ANN,+2,NOW,,,'')":12.063432,"ECL-US^FE_VALUATION(FFEV_EBITDA,MEAN,ANN,+2,NOW,,,'')":19.988884,"ECL-US^FF_CASH_ST(QTR_R,0)":384.0,"KEMIRA-FI^FF_SALES(ANN_R,-1AY,,,,USD)":3751.55810775757,"VIE-FR^FF_SALES(ANN_R,0Y,,,,USD)":49029.6737319231,"PNR-US^FF_EBITDA_OPER(ANN_R,-1AY,,,,USD)":785.4,"STE-US^FF_EBITDA_OPER(ANN_R,0Y,,,,USD)":1473.085,"CLX-US^FF_NET_INC(ANN_R,-1AY,,,,USD)":149.0,"DOV-US^FF_NET_INC(ANN_R,0Y,,,,USD)":1056.828,"DOV-US^FF_SALES(ANN_R,-2AY,,,,USD)":7907.081,"XYL-US^FF_SALES(ANN_R,-1AY,,,,USD)":5541.0,"DD-US^FF_SALES(ANN_R,0Y,,,,USD)":12068.0,"ECL-US^FF_EBITDA_OPER(ANN_R,-1AY,,,,USD)":2548.2,"VIE-FR^FCS_SHARES(TOT,SHS,ANN,0,,,,,M)":718.534518,"DOV-US^FCS_SHARES(TOT,SHS,ANN,0,,,,,M)":140.818815,"KEMIRA-FI^FE_VALUATION(FFEV_EBITDA,MEAN,ANN,+1,NOW,,,'')":6.160957,"XYL-US^FE_VALUATION(FFEV_EBITDA,MEAN,ANN,+1,NOW,,,'')":19.079302,"KEMIRA-FI^FF_SALES(ANN_R,-2AY,,,,USD)":3161.08989953995,"XYL-US^FF_NET_INC(ANN_R,0Y,,,,USD)":609.0,"DOV-US^FF_EBITDA_OPER(ANN_R,0Y,,,,USD)":1747.479,"XYL-US^FF_DEBT(QTR_R,0)":2104.0,"VIE-FR^FF_CASH_ST(QTR_R,0)":null,"STE-US^FE_VALUATION(FFEV_EBITDA,MEAN,ANN,+1,NOW,,,'')":16.461596,"KEMIRA-FI^FF_NET_INC(ANN_R,0Y,,,,USD)":215.25011664629,"CLX-US^FF_EBITDA_OPER(ANN_R,0Y,,,,USD)":1151.0,"ECL-US^FF_SALES(ANN_R,0Y,,,,USD)":15320.2,"DD-US^FF_NET_INC(ANN_R,0Y,,,,USD)":494.0,"ECL-US^FF_NET_INC(ANN_R,0Y,,,,USD)":1372.3,"STE-US^FF_DEBT(QTR_R,0)":2484.668,"ECL-US^FCS_SHARES(TOT,SHS,ANN,0,,,,,M)":287.885218,"PNR-US^FF_DEBT(QTR_R,0)":1885.4,"DOV-US^FF_DEBT(QTR_R,0)":3171.385,"VIE-FR^FG_PRICE(0,,,USD)":30.632975,"STE-US^FG_PRICE(0,,,USD)":233.79,"DOV-US^FG_PRICE(0,,,USD)":176.65,"DD-US^FG_PRICE(0,,,USD)":78.83,"KEMIRA-FI^FE_VALUATION(FFEV_SALES,MEAN,ANN,+2,NOW,,,'')":1.2159193,"VIE-FR^FE_VALUATION(FFEV_SALES,MEAN,ANN,+2,NOW,,,'')":1.0198839,"PNR-US^FE_VALUATION(FFEV_SALES,MEAN,ANN,+2,NOW,,,'')":3.638542,"STE-US^FE_VALUATION(FFEV_SALES,MEAN,ANN,+2,NOW,,,'')":4.341854,"CLX-US^FE_VALUATION(FFEV_SALES,MEAN,ANN,+2,NOW,,,'')":2.9757516,"DOV-US^FE_VALUATION(FFEV_SALES,MEAN,ANN,+2,NOW,,,'')":3.1424577,"XYL-US^FE_VALUATION(FFEV_SALES,MEAN,ANN,+2,NOW,,,'')":3.6743531,"DD-US^FE_VALUATION(FFEV_SALES,MEAN,ANN,+2,NOW,,,'')":3.0917852,"ECL-US^FE_VALUATION(FFEV_SALES,MEAN,ANN,+2,NOW,,,'')":4.6450787,"KEMIRA-FI^FF_NET_INC(ANN_R,-1AY,,,,USD)":243.51076130867,"VIE-FR^FF_NET_INC(ANN_R,0Y,,,,USD)":1038.95209491253,"VIE-FR^FF_SALES(ANN_R,-2AY,,,,USD)":33696.0316202044,"PNR-US^FF_SALES(ANN_R,-1AY,,,,USD)":4121.8,"STE-US^FF_SALES(ANN_R,0Y,,,,USD)":5138.701,"ECL-US^FF_SALES(ANN_R,-1AY,,,,USD)":14187.8,"ECL-US^FF_SALES(ANN_R,-2AY,,,,USD)":12733.1,"CLX-US^FCS_SHARES(TOT,SHS,ANN,0,,,,,M)":125.532807,"PNR-US^FF_CASH_ST(QTR_R,0)":214.3,"DOV-US^FF_CASH_ST(QTR_R,0)":328.752,"VIE-FR^FG_COMPANY_NAME":"Veolia Environnement SA","STE-US^FG_COMPANY_NAME":"STERIS plc","DOV-US^FG_COMPANY_NAME":"Dover Corporation","DD-US^FG_COMPANY_NAME":"DuPont de Nemours, Inc.","KEMIRA-FI^FE_VALUATION(FFEV_SALES,MEAN,ANN,+1,NOW,,,'')":1.2281713,"VIE-FR^FE_VALUATION(FFEV_SALES,MEAN,ANN,+1,NOW,,,'')":1.0628968,"PNR-US^FE_VALUATION(FFEV_SALES,MEAN,ANN,+1,NOW,,,'')":3.7964225,"STE-US^FE_VALUATION(FFEV_SALES,MEAN,ANN,+1,NOW,,,'')":4.606286,"CLX-US^FE_VALUATION(FFEV_SALES,MEAN,ANN,+1,NOW,,,'')":3.0521595,"DOV-US^FE_VALUATION(FFEV_SALES,MEAN,ANN,+1,NOW,,,'')":3.1677356,"XYL-US^FE_VALUATION(FFEV_SALES,MEAN,ANN,+1,NOW,,,'')":3.8712785,"DD-US^FE_VALUATION(FFEV_SALES,MEAN,ANN,+1,NOW,,,'')":3.2663972,"ECL-US^FE_VALUATION(FFEV_SALES,MEAN,ANN,+1,NOW,,,'')":4.8266964,"KEMIRA-FI^FF_EBITDA_OPER(ANN_R,0Y,,,,USD)":676.56215,"VIE-FR^FF_NET_INC(ANN_R,-1AY,,,,USD)":834.894038772583,"PNR-US^FF_NET_INC(ANN_R,0Y,,,,USD)":622.9,"PNR-US^FF_SALES(ANN_R,-2AY,,,,USD)":3764.8,"STE-US^FF_SALES(ANN_R,-1AY,,,,USD)":4536.266,"CLX-US^FF_SALES(ANN_R,0Y,,,,USD)":7093.0,"DOV-US^FF_EBITDA_OPER(ANN_R,-1AY,,,,USD)":1725.858,"KEMIRA-FI^FCS_SHARES(TOT,SHS,ANN,0,,,,,M)":154.068304}]]></FdsFormulaCache>
</file>

<file path=customXml/itemProps1.xml><?xml version="1.0" encoding="utf-8"?>
<ds:datastoreItem xmlns:ds="http://schemas.openxmlformats.org/officeDocument/2006/customXml" ds:itemID="{95ECA6E2-6575-41B4-BC8E-E397E97AF29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Input</vt:lpstr>
      <vt:lpstr>MOD</vt:lpstr>
      <vt:lpstr>SUM</vt:lpstr>
      <vt:lpstr>ECL Comps &amp; market share</vt:lpstr>
      <vt:lpstr>Rev Breakdown</vt:lpstr>
      <vt:lpstr>Regional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Hongjia Cui</cp:lastModifiedBy>
  <dcterms:created xsi:type="dcterms:W3CDTF">2024-08-13T19:48:29Z</dcterms:created>
  <dcterms:modified xsi:type="dcterms:W3CDTF">2024-08-17T21:58:53Z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