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ui1\Desktop\"/>
    </mc:Choice>
  </mc:AlternateContent>
  <xr:revisionPtr revIDLastSave="0" documentId="13_ncr:1_{DA45B28A-1727-4835-9880-973A48D97586}" xr6:coauthVersionLast="36" xr6:coauthVersionMax="47" xr10:uidLastSave="{00000000-0000-0000-0000-000000000000}"/>
  <bookViews>
    <workbookView xWindow="0" yWindow="0" windowWidth="25770" windowHeight="17595" firstSheet="1" activeTab="2" xr2:uid="{00000000-000D-0000-FFFF-FFFF00000000}"/>
  </bookViews>
  <sheets>
    <sheet name="__FDSCACHE__" sheetId="12" state="veryHidden" r:id="rId1"/>
    <sheet name="Raw Input" sheetId="3" r:id="rId2"/>
    <sheet name="MOD" sheetId="8" r:id="rId3"/>
    <sheet name="SUM" sheetId="10" r:id="rId4"/>
    <sheet name="VIST Comps &amp; market share" sheetId="11" r:id="rId5"/>
    <sheet name="Rev Breakdown" sheetId="1" r:id="rId6"/>
    <sheet name="Production Breakdown" sheetId="6" r:id="rId7"/>
    <sheet name="Net Proved data" sheetId="5" r:id="rId8"/>
    <sheet name="Argentine Econ &amp; FX" sheetId="4" r:id="rId9"/>
  </sheets>
  <definedNames>
    <definedName name="_bdm.1374bf2687714150a6b31bc1ca0a0b61.edm" localSheetId="4" hidden="1">'VIST Comps &amp; market share'!$1:$1048576</definedName>
    <definedName name="_bdm.1374bf2687714150a6b31bc1ca0a0b61.edm" hidden="1">#REF!</definedName>
    <definedName name="_bdm.2ce96c87f19a450da146a0c4aa3f4f37.edm" localSheetId="2" hidden="1">#REF!</definedName>
    <definedName name="_bdm.2ce96c87f19a450da146a0c4aa3f4f37.edm" localSheetId="4" hidden="1">#REF!</definedName>
    <definedName name="_bdm.2ce96c87f19a450da146a0c4aa3f4f37.edm" hidden="1">#REF!</definedName>
    <definedName name="_bdm.fcdcb85f66d84a7aac098aaed3657232.edm" localSheetId="2" hidden="1">#REF!</definedName>
    <definedName name="_bdm.fcdcb85f66d84a7aac098aaed3657232.edm" localSheetId="4" hidden="1">#REF!</definedName>
    <definedName name="_bdm.fcdcb85f66d84a7aac098aaed3657232.edm" hidden="1">#REF!</definedName>
    <definedName name="_xlnm._FilterDatabase" localSheetId="4" hidden="1">'VIST Comps &amp; market share'!$A$38:$AC$85</definedName>
    <definedName name="_xlnm.Database" localSheetId="2">#REF!</definedName>
    <definedName name="_xlnm.Database" localSheetId="4">#REF!</definedName>
    <definedName name="_xlnm.Databas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45190.6061111111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s">#REF!</definedName>
    <definedName name="tgr">#REF!</definedName>
    <definedName name="wacc">#REF!</definedName>
  </definedNames>
  <calcPr calcId="191029"/>
</workbook>
</file>

<file path=xl/calcChain.xml><?xml version="1.0" encoding="utf-8"?>
<calcChain xmlns="http://schemas.openxmlformats.org/spreadsheetml/2006/main">
  <c r="AJ99" i="8" l="1"/>
  <c r="G9" i="3" l="1"/>
  <c r="AC14" i="8"/>
  <c r="F79" i="11"/>
  <c r="J76" i="11"/>
  <c r="I76" i="11"/>
  <c r="H76" i="11"/>
  <c r="G76" i="11"/>
  <c r="F76" i="11"/>
  <c r="E76" i="11"/>
  <c r="D76" i="11"/>
  <c r="J75" i="11"/>
  <c r="I75" i="11"/>
  <c r="H75" i="11"/>
  <c r="G75" i="11"/>
  <c r="F75" i="11"/>
  <c r="E75" i="11"/>
  <c r="D75" i="11"/>
  <c r="J74" i="11"/>
  <c r="I74" i="11"/>
  <c r="H74" i="11"/>
  <c r="G74" i="11"/>
  <c r="F74" i="11"/>
  <c r="E74" i="11"/>
  <c r="D74" i="11"/>
  <c r="J73" i="11"/>
  <c r="I73" i="11"/>
  <c r="H73" i="11"/>
  <c r="G73" i="11"/>
  <c r="F73" i="11"/>
  <c r="E73" i="11"/>
  <c r="D73" i="11"/>
  <c r="J72" i="11"/>
  <c r="I72" i="11"/>
  <c r="H72" i="11"/>
  <c r="G72" i="11"/>
  <c r="F72" i="11"/>
  <c r="E72" i="11"/>
  <c r="D72" i="11"/>
  <c r="J71" i="11"/>
  <c r="I71" i="11"/>
  <c r="H71" i="11"/>
  <c r="G71" i="11"/>
  <c r="F71" i="11"/>
  <c r="E71" i="11"/>
  <c r="D71" i="11"/>
  <c r="J70" i="11"/>
  <c r="I70" i="11"/>
  <c r="H70" i="11"/>
  <c r="G70" i="11"/>
  <c r="F70" i="11"/>
  <c r="E70" i="11"/>
  <c r="D70" i="11"/>
  <c r="C76" i="11"/>
  <c r="C75" i="11"/>
  <c r="C74" i="11"/>
  <c r="C73" i="11"/>
  <c r="C72" i="11"/>
  <c r="C71" i="11"/>
  <c r="C70" i="11"/>
  <c r="AC22" i="11" a="1"/>
  <c r="AC22" i="11" l="1"/>
  <c r="AB22" i="11" a="1"/>
  <c r="AB22" i="11" l="1"/>
  <c r="AA22" i="11" a="1"/>
  <c r="AA22" i="11" l="1"/>
  <c r="Z22" i="11" a="1"/>
  <c r="Z22" i="11" l="1"/>
  <c r="Y22" i="11" a="1"/>
  <c r="Y22" i="11" l="1"/>
  <c r="X22" i="11" a="1"/>
  <c r="X22" i="11" l="1"/>
  <c r="AC21" i="11" a="1"/>
  <c r="AC21" i="11" l="1"/>
  <c r="AB21" i="11" a="1"/>
  <c r="AB21" i="11" l="1"/>
  <c r="AA21" i="11" a="1"/>
  <c r="AA21" i="11" l="1"/>
  <c r="Z21" i="11" a="1"/>
  <c r="Z21" i="11" l="1"/>
  <c r="Y21" i="11" a="1"/>
  <c r="Y21" i="11" l="1"/>
  <c r="X21" i="11" a="1"/>
  <c r="X21" i="11" l="1"/>
  <c r="AC20" i="11" a="1"/>
  <c r="AC20" i="11" l="1"/>
  <c r="AB20" i="11" a="1"/>
  <c r="AB20" i="11" l="1"/>
  <c r="AA20" i="11" a="1"/>
  <c r="AA20" i="11" l="1"/>
  <c r="Z20" i="11" a="1"/>
  <c r="Z20" i="11" l="1"/>
  <c r="Y20" i="11" a="1"/>
  <c r="Y20" i="11" l="1"/>
  <c r="X20" i="11" a="1"/>
  <c r="X20" i="11" l="1"/>
  <c r="AC19" i="11" a="1"/>
  <c r="AC19" i="11" l="1"/>
  <c r="AB19" i="11" a="1"/>
  <c r="AB19" i="11" l="1"/>
  <c r="AA19" i="11" a="1"/>
  <c r="AA19" i="11" l="1"/>
  <c r="Z19" i="11" a="1"/>
  <c r="Z19" i="11" l="1"/>
  <c r="Y19" i="11" a="1"/>
  <c r="Y19" i="11" l="1"/>
  <c r="X19" i="11" a="1"/>
  <c r="X19" i="11" l="1"/>
  <c r="AC18" i="11" a="1"/>
  <c r="AC18" i="11" l="1"/>
  <c r="AB18" i="11" a="1"/>
  <c r="AB18" i="11" l="1"/>
  <c r="AA18" i="11" a="1"/>
  <c r="AA18" i="11" l="1"/>
  <c r="Z18" i="11" a="1"/>
  <c r="Z18" i="11" l="1"/>
  <c r="Y18" i="11" a="1"/>
  <c r="Y18" i="11" l="1"/>
  <c r="X18" i="11" a="1"/>
  <c r="X18" i="11" l="1"/>
  <c r="AC17" i="11" a="1"/>
  <c r="AC17" i="11" l="1"/>
  <c r="AB17" i="11" a="1"/>
  <c r="AB17" i="11" l="1"/>
  <c r="AA17" i="11" a="1"/>
  <c r="AA17" i="11" l="1"/>
  <c r="Z17" i="11" a="1"/>
  <c r="Z17" i="11" l="1"/>
  <c r="Y17" i="11" a="1"/>
  <c r="Y17" i="11" l="1"/>
  <c r="X17" i="11" a="1"/>
  <c r="X17" i="11" l="1"/>
  <c r="AC16" i="11" a="1"/>
  <c r="AC16" i="11" l="1"/>
  <c r="AB16" i="11" a="1"/>
  <c r="AB16" i="11" l="1"/>
  <c r="AA16" i="11" a="1"/>
  <c r="AA16" i="11" l="1"/>
  <c r="Z16" i="11" a="1"/>
  <c r="Z16" i="11" l="1"/>
  <c r="Y16" i="11" a="1"/>
  <c r="Y16" i="11" l="1"/>
  <c r="X16" i="11" a="1"/>
  <c r="X16" i="11" l="1"/>
  <c r="AC15" i="11" a="1"/>
  <c r="AC15" i="11" l="1"/>
  <c r="AB15" i="11" a="1"/>
  <c r="AB15" i="11" l="1"/>
  <c r="AA15" i="11" a="1"/>
  <c r="AA15" i="11" l="1"/>
  <c r="Z15" i="11" a="1"/>
  <c r="Z15" i="11" l="1"/>
  <c r="Y15" i="11" a="1"/>
  <c r="Y15" i="11" l="1"/>
  <c r="X15" i="11" a="1"/>
  <c r="X15" i="11" l="1"/>
  <c r="AC14" i="11" a="1"/>
  <c r="AC14" i="11" l="1"/>
  <c r="AB14" i="11" a="1"/>
  <c r="AB14" i="11" l="1"/>
  <c r="AA14" i="11" a="1"/>
  <c r="AA14" i="11" l="1"/>
  <c r="Z14" i="11" a="1"/>
  <c r="Z14" i="11" l="1"/>
  <c r="Y14" i="11" a="1"/>
  <c r="Y14" i="11" l="1"/>
  <c r="X14" i="11" a="1"/>
  <c r="X14" i="11" l="1"/>
  <c r="AC13" i="11" a="1"/>
  <c r="AC13" i="11" l="1"/>
  <c r="AB13" i="11" a="1"/>
  <c r="AB13" i="11" l="1"/>
  <c r="AA13" i="11" a="1"/>
  <c r="AA13" i="11" l="1"/>
  <c r="Z13" i="11" a="1"/>
  <c r="Z13" i="11" l="1"/>
  <c r="Y13" i="11" a="1"/>
  <c r="Y13" i="11" l="1"/>
  <c r="X13" i="11" a="1"/>
  <c r="X13" i="11" l="1"/>
  <c r="AC11" i="11" a="1"/>
  <c r="AC11" i="11" l="1"/>
  <c r="AB11" i="11" a="1"/>
  <c r="AB11" i="11" l="1"/>
  <c r="AA11" i="11" a="1"/>
  <c r="AA11" i="11" l="1"/>
  <c r="Z11" i="11" a="1"/>
  <c r="Z11" i="11" l="1"/>
  <c r="Y11" i="11" a="1"/>
  <c r="Y11" i="11" l="1"/>
  <c r="X11" i="11" a="1"/>
  <c r="X11" i="11" l="1"/>
  <c r="R29" i="11" a="1"/>
  <c r="R29" i="11" l="1"/>
  <c r="Q29" i="11" a="1"/>
  <c r="Q29" i="11" l="1"/>
  <c r="P29" i="11" a="1"/>
  <c r="P29" i="11" l="1"/>
  <c r="Q49" i="11" a="1"/>
  <c r="Q49" i="11" l="1"/>
  <c r="P49" i="11" a="1"/>
  <c r="P49" i="11" l="1"/>
  <c r="O49" i="11" a="1"/>
  <c r="O49" i="11" l="1"/>
  <c r="N49" i="11" a="1"/>
  <c r="N49" i="11" l="1"/>
  <c r="M49" i="11" a="1"/>
  <c r="M49" i="11" l="1"/>
  <c r="L49" i="11" a="1"/>
  <c r="L49" i="11" l="1"/>
  <c r="K49" i="11" a="1"/>
  <c r="K49" i="11" l="1"/>
  <c r="Q48" i="11" a="1"/>
  <c r="Q48" i="11" l="1"/>
  <c r="P48" i="11" a="1"/>
  <c r="P48" i="11" l="1"/>
  <c r="O48" i="11" a="1"/>
  <c r="O48" i="11" l="1"/>
  <c r="N48" i="11" a="1"/>
  <c r="N48" i="11" l="1"/>
  <c r="M48" i="11" a="1"/>
  <c r="M48" i="11" l="1"/>
  <c r="L48" i="11" a="1"/>
  <c r="L48" i="11" l="1"/>
  <c r="K48" i="11" a="1"/>
  <c r="K48" i="11" l="1"/>
  <c r="Q47" i="11" a="1"/>
  <c r="Q47" i="11" l="1"/>
  <c r="P47" i="11" a="1"/>
  <c r="P47" i="11" l="1"/>
  <c r="O47" i="11" a="1"/>
  <c r="O47" i="11" l="1"/>
  <c r="N47" i="11" a="1"/>
  <c r="N47" i="11" l="1"/>
  <c r="M47" i="11" a="1"/>
  <c r="M47" i="11" l="1"/>
  <c r="L47" i="11" a="1"/>
  <c r="L47" i="11" l="1"/>
  <c r="K47" i="11" a="1"/>
  <c r="K47" i="11" l="1"/>
  <c r="Q46" i="11" a="1"/>
  <c r="Q46" i="11" l="1"/>
  <c r="P46" i="11" a="1"/>
  <c r="P46" i="11" l="1"/>
  <c r="O46" i="11" a="1"/>
  <c r="O46" i="11" l="1"/>
  <c r="N46" i="11" a="1"/>
  <c r="N46" i="11" l="1"/>
  <c r="M46" i="11" a="1"/>
  <c r="M46" i="11" l="1"/>
  <c r="L46" i="11" a="1"/>
  <c r="L46" i="11" l="1"/>
  <c r="K46" i="11" a="1"/>
  <c r="K46" i="11" l="1"/>
  <c r="Q45" i="11" a="1"/>
  <c r="Q45" i="11" l="1"/>
  <c r="P45" i="11" a="1"/>
  <c r="P45" i="11" l="1"/>
  <c r="O45" i="11" a="1"/>
  <c r="O45" i="11" l="1"/>
  <c r="N45" i="11" a="1"/>
  <c r="N45" i="11" l="1"/>
  <c r="M45" i="11" a="1"/>
  <c r="M45" i="11" l="1"/>
  <c r="L45" i="11" a="1"/>
  <c r="L45" i="11" l="1"/>
  <c r="K45" i="11" a="1"/>
  <c r="K45" i="11" l="1"/>
  <c r="Q44" i="11" a="1"/>
  <c r="Q44" i="11" l="1"/>
  <c r="P44" i="11" a="1"/>
  <c r="P44" i="11" l="1"/>
  <c r="O44" i="11" a="1"/>
  <c r="O44" i="11" l="1"/>
  <c r="N44" i="11" a="1"/>
  <c r="N44" i="11" l="1"/>
  <c r="M44" i="11" a="1"/>
  <c r="M44" i="11" l="1"/>
  <c r="L44" i="11" a="1"/>
  <c r="L44" i="11" l="1"/>
  <c r="K44" i="11" a="1"/>
  <c r="K44" i="11" l="1"/>
  <c r="Q43" i="11" a="1"/>
  <c r="Q43" i="11" l="1"/>
  <c r="P43" i="11" a="1"/>
  <c r="P43" i="11" l="1"/>
  <c r="O43" i="11" a="1"/>
  <c r="O43" i="11" l="1"/>
  <c r="N43" i="11" a="1"/>
  <c r="N43" i="11" l="1"/>
  <c r="M43" i="11" a="1"/>
  <c r="M43" i="11" l="1"/>
  <c r="L43" i="11" a="1"/>
  <c r="L43" i="11" l="1"/>
  <c r="K43" i="11" a="1"/>
  <c r="K43" i="11" l="1"/>
  <c r="Q42" i="11" a="1"/>
  <c r="Q42" i="11" l="1"/>
  <c r="P42" i="11" a="1"/>
  <c r="P42" i="11" l="1"/>
  <c r="O42" i="11" a="1"/>
  <c r="O42" i="11" l="1"/>
  <c r="N42" i="11" a="1"/>
  <c r="N42" i="11" l="1"/>
  <c r="M42" i="11" a="1"/>
  <c r="M42" i="11" l="1"/>
  <c r="L42" i="11" a="1"/>
  <c r="L42" i="11" l="1"/>
  <c r="K42" i="11" a="1"/>
  <c r="K42" i="11" l="1"/>
  <c r="Q41" i="11" a="1"/>
  <c r="Q41" i="11" l="1"/>
  <c r="P41" i="11" a="1"/>
  <c r="P41" i="11" l="1"/>
  <c r="O41" i="11" a="1"/>
  <c r="O41" i="11" l="1"/>
  <c r="N41" i="11" a="1"/>
  <c r="N41" i="11" l="1"/>
  <c r="M41" i="11" a="1"/>
  <c r="M41" i="11" l="1"/>
  <c r="L41" i="11" a="1"/>
  <c r="L41" i="11" l="1"/>
  <c r="K41" i="11" a="1"/>
  <c r="K41" i="11" l="1"/>
  <c r="Q40" i="11" a="1"/>
  <c r="Q40" i="11" l="1"/>
  <c r="P40" i="11" a="1"/>
  <c r="P40" i="11" l="1"/>
  <c r="O40" i="11" a="1"/>
  <c r="O40" i="11" l="1"/>
  <c r="N40" i="11" a="1"/>
  <c r="N40" i="11" l="1"/>
  <c r="M40" i="11" a="1"/>
  <c r="M40" i="11" l="1"/>
  <c r="L40" i="11" a="1"/>
  <c r="L40" i="11" l="1"/>
  <c r="K40" i="11" a="1"/>
  <c r="K40" i="11" l="1"/>
  <c r="Q39" i="11" a="1"/>
  <c r="Q39" i="11" l="1"/>
  <c r="P39" i="11" a="1"/>
  <c r="P39" i="11" l="1"/>
  <c r="O39" i="11" a="1"/>
  <c r="O39" i="11" l="1"/>
  <c r="N39" i="11" a="1"/>
  <c r="N39" i="11" l="1"/>
  <c r="M39" i="11" a="1"/>
  <c r="M39" i="11" l="1"/>
  <c r="L39" i="11" a="1"/>
  <c r="L39" i="11" l="1"/>
  <c r="K39" i="11" a="1"/>
  <c r="K39" i="11" l="1"/>
  <c r="J29" i="11" a="1"/>
  <c r="J29" i="11" l="1"/>
  <c r="I49" i="11" a="1"/>
  <c r="I49" i="11" l="1"/>
  <c r="H49" i="11" a="1"/>
  <c r="H49" i="11" l="1"/>
  <c r="I48" i="11" a="1"/>
  <c r="I48" i="11" l="1"/>
  <c r="H48" i="11" a="1"/>
  <c r="H48" i="11" l="1"/>
  <c r="I47" i="11" a="1"/>
  <c r="I47" i="11" l="1"/>
  <c r="H47" i="11" a="1"/>
  <c r="H47" i="11" l="1"/>
  <c r="I46" i="11" a="1"/>
  <c r="I46" i="11" l="1"/>
  <c r="H46" i="11" a="1"/>
  <c r="H46" i="11" l="1"/>
  <c r="I45" i="11" a="1"/>
  <c r="I45" i="11" l="1"/>
  <c r="H45" i="11" a="1"/>
  <c r="H45" i="11" l="1"/>
  <c r="I44" i="11" a="1"/>
  <c r="I44" i="11" l="1"/>
  <c r="H44" i="11" a="1"/>
  <c r="H44" i="11" l="1"/>
  <c r="I43" i="11" a="1"/>
  <c r="I43" i="11" l="1"/>
  <c r="H43" i="11" a="1"/>
  <c r="H43" i="11" l="1"/>
  <c r="I42" i="11" a="1"/>
  <c r="I42" i="11" l="1"/>
  <c r="H42" i="11" a="1"/>
  <c r="H42" i="11" l="1"/>
  <c r="I41" i="11" a="1"/>
  <c r="I41" i="11" l="1"/>
  <c r="H41" i="11" a="1"/>
  <c r="H41" i="11" l="1"/>
  <c r="I40" i="11" a="1"/>
  <c r="I40" i="11" l="1"/>
  <c r="H40" i="11" a="1"/>
  <c r="H40" i="11" l="1"/>
  <c r="I39" i="11" a="1"/>
  <c r="I39" i="11" l="1"/>
  <c r="H39" i="11" a="1"/>
  <c r="H39" i="11" l="1"/>
  <c r="E49" i="11" a="1"/>
  <c r="E49" i="11" l="1"/>
  <c r="D49" i="11" a="1"/>
  <c r="D49" i="11" l="1"/>
  <c r="C49" i="11" a="1"/>
  <c r="C49" i="11" l="1"/>
  <c r="E48" i="11" a="1"/>
  <c r="E48" i="11" l="1"/>
  <c r="D48" i="11" a="1"/>
  <c r="D48" i="11" l="1"/>
  <c r="C48" i="11" a="1"/>
  <c r="C48" i="11" l="1"/>
  <c r="E47" i="11" a="1"/>
  <c r="E47" i="11" l="1"/>
  <c r="D47" i="11" a="1"/>
  <c r="D47" i="11" l="1"/>
  <c r="C47" i="11" a="1"/>
  <c r="C47" i="11" l="1"/>
  <c r="E46" i="11" a="1"/>
  <c r="E46" i="11" l="1"/>
  <c r="D46" i="11" a="1"/>
  <c r="D46" i="11" l="1"/>
  <c r="C46" i="11" a="1"/>
  <c r="C46" i="11" l="1"/>
  <c r="E45" i="11" a="1"/>
  <c r="E45" i="11" l="1"/>
  <c r="D45" i="11" a="1"/>
  <c r="D45" i="11" l="1"/>
  <c r="C45" i="11" a="1"/>
  <c r="C45" i="11" l="1"/>
  <c r="E44" i="11" a="1"/>
  <c r="E44" i="11" l="1"/>
  <c r="D44" i="11" a="1"/>
  <c r="D44" i="11" l="1"/>
  <c r="C44" i="11" a="1"/>
  <c r="C44" i="11" l="1"/>
  <c r="E43" i="11" a="1"/>
  <c r="E43" i="11" l="1"/>
  <c r="D43" i="11" a="1"/>
  <c r="D43" i="11" l="1"/>
  <c r="C43" i="11" a="1"/>
  <c r="C43" i="11" l="1"/>
  <c r="E42" i="11" a="1"/>
  <c r="E42" i="11" l="1"/>
  <c r="D42" i="11" a="1"/>
  <c r="D42" i="11" l="1"/>
  <c r="C42" i="11" a="1"/>
  <c r="C42" i="11" l="1"/>
  <c r="E41" i="11" a="1"/>
  <c r="E41" i="11" l="1"/>
  <c r="D41" i="11" a="1"/>
  <c r="D41" i="11" l="1"/>
  <c r="C41" i="11" a="1"/>
  <c r="C41" i="11" l="1"/>
  <c r="E40" i="11" a="1"/>
  <c r="E40" i="11" l="1"/>
  <c r="D40" i="11" a="1"/>
  <c r="D40" i="11" l="1"/>
  <c r="C40" i="11" a="1"/>
  <c r="C40" i="11" l="1"/>
  <c r="E39" i="11" a="1"/>
  <c r="E39" i="11" l="1"/>
  <c r="D39" i="11" a="1"/>
  <c r="D39" i="11" l="1"/>
  <c r="C39" i="11" a="1"/>
  <c r="C39" i="11" l="1"/>
  <c r="N22" i="11"/>
  <c r="O22" i="11"/>
  <c r="O21" i="11"/>
  <c r="N21" i="11"/>
  <c r="K15" i="11"/>
  <c r="C22" i="11"/>
  <c r="B22" i="11"/>
  <c r="B21" i="11"/>
  <c r="B20" i="11"/>
  <c r="B19" i="11"/>
  <c r="B18" i="11"/>
  <c r="B17" i="11"/>
  <c r="B16" i="11"/>
  <c r="B15" i="11"/>
  <c r="B14" i="11"/>
  <c r="C69" i="11"/>
  <c r="J21" i="10"/>
  <c r="C28" i="10"/>
  <c r="C33" i="10"/>
  <c r="I7" i="10"/>
  <c r="H7" i="10"/>
  <c r="G7" i="10"/>
  <c r="I4" i="10"/>
  <c r="H4" i="10"/>
  <c r="G4" i="10"/>
  <c r="B11" i="11" l="1"/>
  <c r="F41" i="11" l="1"/>
  <c r="F48" i="11" l="1"/>
  <c r="G48" i="11" s="1"/>
  <c r="F42" i="11"/>
  <c r="G42" i="11" s="1"/>
  <c r="F46" i="11"/>
  <c r="G46" i="11" s="1"/>
  <c r="F45" i="11"/>
  <c r="G45" i="11" s="1"/>
  <c r="F44" i="11"/>
  <c r="G44" i="11" s="1"/>
  <c r="G41" i="11"/>
  <c r="F40" i="11"/>
  <c r="G40" i="11" s="1"/>
  <c r="F49" i="11" l="1"/>
  <c r="G49" i="11" s="1"/>
  <c r="F47" i="11"/>
  <c r="G47" i="11" s="1"/>
  <c r="F43" i="11"/>
  <c r="G43" i="11" s="1"/>
  <c r="N15" i="11" l="1"/>
  <c r="O15" i="11"/>
  <c r="N16" i="11" l="1"/>
  <c r="O16" i="11"/>
  <c r="AC87" i="8" l="1"/>
  <c r="X130" i="8"/>
  <c r="AC130" i="8"/>
  <c r="AB130" i="8"/>
  <c r="AA130" i="8"/>
  <c r="Z130" i="8"/>
  <c r="Y130" i="8"/>
  <c r="W130" i="8"/>
  <c r="V130" i="8"/>
  <c r="U130" i="8"/>
  <c r="T130" i="8"/>
  <c r="S130" i="8"/>
  <c r="S133" i="8"/>
  <c r="S129" i="8"/>
  <c r="AJ25" i="8"/>
  <c r="N9" i="3"/>
  <c r="M9" i="3"/>
  <c r="L9" i="3"/>
  <c r="K9" i="3"/>
  <c r="J9" i="3"/>
  <c r="I9" i="3"/>
  <c r="H9" i="3"/>
  <c r="F9" i="3"/>
  <c r="E9" i="3"/>
  <c r="D9" i="3"/>
  <c r="C9" i="3"/>
  <c r="B9" i="3"/>
  <c r="AE88" i="8"/>
  <c r="AD88" i="8"/>
  <c r="AC82" i="8"/>
  <c r="AD76" i="8"/>
  <c r="AE76" i="8"/>
  <c r="AD13" i="8"/>
  <c r="AE13" i="8"/>
  <c r="B33" i="8"/>
  <c r="AC76" i="8"/>
  <c r="O31" i="3"/>
  <c r="Z76" i="8"/>
  <c r="Z78" i="8" s="1"/>
  <c r="AA76" i="8"/>
  <c r="AB76" i="8"/>
  <c r="X76" i="8"/>
  <c r="AD78" i="8"/>
  <c r="AD74" i="8"/>
  <c r="AD71" i="8"/>
  <c r="AJ34" i="8"/>
  <c r="AC12" i="8"/>
  <c r="AG12" i="8"/>
  <c r="AF12" i="8"/>
  <c r="AE12" i="8"/>
  <c r="AD12" i="8"/>
  <c r="AB12" i="8"/>
  <c r="AA12" i="8"/>
  <c r="Z12" i="8"/>
  <c r="Y12" i="8"/>
  <c r="X12" i="8"/>
  <c r="AJ10" i="8"/>
  <c r="AC10" i="8"/>
  <c r="AG10" i="8"/>
  <c r="AF10" i="8"/>
  <c r="AE10" i="8"/>
  <c r="AD10" i="8"/>
  <c r="AB10" i="8"/>
  <c r="AA10" i="8"/>
  <c r="Z10" i="8"/>
  <c r="Y10" i="8"/>
  <c r="X10" i="8"/>
  <c r="AJ9" i="8"/>
  <c r="AJ8" i="8"/>
  <c r="AJ7" i="8"/>
  <c r="B34" i="1"/>
  <c r="H34" i="1"/>
  <c r="H35" i="1" s="1"/>
  <c r="G34" i="1"/>
  <c r="G35" i="1" s="1"/>
  <c r="E34" i="1"/>
  <c r="E33" i="1"/>
  <c r="B33" i="1"/>
  <c r="AI7" i="8"/>
  <c r="AH7" i="8"/>
  <c r="AI6" i="8"/>
  <c r="AI8" i="8"/>
  <c r="AH8" i="8"/>
  <c r="AC8" i="8"/>
  <c r="X8" i="8"/>
  <c r="S8" i="8"/>
  <c r="AH6" i="8"/>
  <c r="AC9" i="8"/>
  <c r="X9" i="8"/>
  <c r="S9" i="8"/>
  <c r="S11" i="8"/>
  <c r="R12" i="1"/>
  <c r="AC11" i="8" s="1"/>
  <c r="C34" i="1"/>
  <c r="C33" i="1" s="1"/>
  <c r="AI9" i="8" s="1"/>
  <c r="D34" i="1"/>
  <c r="D33" i="1" s="1"/>
  <c r="AH9" i="8" s="1"/>
  <c r="AI10" i="8" s="1"/>
  <c r="V12" i="1"/>
  <c r="U12" i="1"/>
  <c r="T12" i="1"/>
  <c r="L13" i="10"/>
  <c r="K13" i="10"/>
  <c r="J13" i="10"/>
  <c r="I13" i="10"/>
  <c r="H13" i="10"/>
  <c r="G13" i="10"/>
  <c r="G21" i="10" s="1"/>
  <c r="AE94" i="8"/>
  <c r="AD94" i="8"/>
  <c r="AB94" i="8"/>
  <c r="AA94" i="8"/>
  <c r="Z94" i="8"/>
  <c r="Y94" i="8"/>
  <c r="AE85" i="8"/>
  <c r="AE72" i="8"/>
  <c r="AD72" i="8"/>
  <c r="AD58" i="8"/>
  <c r="U19" i="1"/>
  <c r="Q14" i="1"/>
  <c r="P5" i="1"/>
  <c r="AE125" i="8"/>
  <c r="AE132" i="8" s="1"/>
  <c r="AD125" i="8"/>
  <c r="AD132" i="8" s="1"/>
  <c r="AC125" i="8"/>
  <c r="AC132" i="8" s="1"/>
  <c r="AB125" i="8"/>
  <c r="AB132" i="8" s="1"/>
  <c r="AA125" i="8"/>
  <c r="AA132" i="8" s="1"/>
  <c r="Z125" i="8"/>
  <c r="Z132" i="8" s="1"/>
  <c r="Y125" i="8"/>
  <c r="Y132" i="8" s="1"/>
  <c r="W125" i="8"/>
  <c r="W132" i="8" s="1"/>
  <c r="V125" i="8"/>
  <c r="V132" i="8" s="1"/>
  <c r="U125" i="8"/>
  <c r="U132" i="8" s="1"/>
  <c r="T125" i="8"/>
  <c r="T132" i="8" s="1"/>
  <c r="R125" i="8"/>
  <c r="R132" i="8" s="1"/>
  <c r="Q125" i="8"/>
  <c r="Q132" i="8" s="1"/>
  <c r="P125" i="8"/>
  <c r="P132" i="8" s="1"/>
  <c r="AE122" i="8"/>
  <c r="AD122" i="8"/>
  <c r="AB122" i="8"/>
  <c r="AA122" i="8"/>
  <c r="Z122" i="8"/>
  <c r="Y122" i="8"/>
  <c r="W122" i="8"/>
  <c r="V122" i="8"/>
  <c r="U122" i="8"/>
  <c r="T122" i="8"/>
  <c r="R122" i="8"/>
  <c r="Q122" i="8"/>
  <c r="P122" i="8"/>
  <c r="AE121" i="8"/>
  <c r="AD121" i="8"/>
  <c r="AB121" i="8"/>
  <c r="AA121" i="8"/>
  <c r="Z121" i="8"/>
  <c r="Y121" i="8"/>
  <c r="W121" i="8"/>
  <c r="V121" i="8"/>
  <c r="U121" i="8"/>
  <c r="T121" i="8"/>
  <c r="R121" i="8"/>
  <c r="Q121" i="8"/>
  <c r="P121" i="8"/>
  <c r="AE120" i="8"/>
  <c r="AD120" i="8"/>
  <c r="AB120" i="8"/>
  <c r="AA120" i="8"/>
  <c r="Z120" i="8"/>
  <c r="Y120" i="8"/>
  <c r="W120" i="8"/>
  <c r="V120" i="8"/>
  <c r="U120" i="8"/>
  <c r="T120" i="8"/>
  <c r="R120" i="8"/>
  <c r="Q120" i="8"/>
  <c r="P120" i="8"/>
  <c r="AE119" i="8"/>
  <c r="AD119" i="8"/>
  <c r="AB119" i="8"/>
  <c r="AA119" i="8"/>
  <c r="Z119" i="8"/>
  <c r="Y119" i="8"/>
  <c r="W119" i="8"/>
  <c r="V119" i="8"/>
  <c r="U119" i="8"/>
  <c r="T119" i="8"/>
  <c r="R119" i="8"/>
  <c r="Q119" i="8"/>
  <c r="P119" i="8"/>
  <c r="AE118" i="8"/>
  <c r="AD118" i="8"/>
  <c r="AB118" i="8"/>
  <c r="AA118" i="8"/>
  <c r="Z118" i="8"/>
  <c r="Y118" i="8"/>
  <c r="W118" i="8"/>
  <c r="V118" i="8"/>
  <c r="U118" i="8"/>
  <c r="T118" i="8"/>
  <c r="S118" i="8"/>
  <c r="R118" i="8"/>
  <c r="Q118" i="8"/>
  <c r="P118" i="8"/>
  <c r="AE117" i="8"/>
  <c r="AD117" i="8"/>
  <c r="AB117" i="8"/>
  <c r="AA117" i="8"/>
  <c r="Z117" i="8"/>
  <c r="Y117" i="8"/>
  <c r="W117" i="8"/>
  <c r="V117" i="8"/>
  <c r="U117" i="8"/>
  <c r="T117" i="8"/>
  <c r="R117" i="8"/>
  <c r="Q117" i="8"/>
  <c r="P117" i="8"/>
  <c r="AE116" i="8"/>
  <c r="AD116" i="8"/>
  <c r="AB116" i="8"/>
  <c r="AA116" i="8"/>
  <c r="Z116" i="8"/>
  <c r="Y116" i="8"/>
  <c r="W116" i="8"/>
  <c r="V116" i="8"/>
  <c r="U116" i="8"/>
  <c r="T116" i="8"/>
  <c r="R116" i="8"/>
  <c r="Q116" i="8"/>
  <c r="P116" i="8"/>
  <c r="AE115" i="8"/>
  <c r="AD115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O125" i="8"/>
  <c r="O132" i="8" s="1"/>
  <c r="O122" i="8"/>
  <c r="O121" i="8"/>
  <c r="O120" i="8"/>
  <c r="O119" i="8"/>
  <c r="O118" i="8"/>
  <c r="O117" i="8"/>
  <c r="O116" i="8"/>
  <c r="O115" i="8"/>
  <c r="B125" i="8"/>
  <c r="B124" i="8"/>
  <c r="B122" i="8"/>
  <c r="B121" i="8"/>
  <c r="B120" i="8"/>
  <c r="B119" i="8"/>
  <c r="B118" i="8"/>
  <c r="B117" i="8"/>
  <c r="B116" i="8"/>
  <c r="B115" i="8"/>
  <c r="B114" i="8"/>
  <c r="L73" i="3"/>
  <c r="X125" i="8" s="1"/>
  <c r="X132" i="8" s="1"/>
  <c r="G73" i="3"/>
  <c r="S125" i="8" s="1"/>
  <c r="S132" i="8" s="1"/>
  <c r="Q70" i="3"/>
  <c r="AC122" i="8" s="1"/>
  <c r="L70" i="3"/>
  <c r="X122" i="8" s="1"/>
  <c r="G70" i="3"/>
  <c r="S122" i="8" s="1"/>
  <c r="Q69" i="3"/>
  <c r="AC121" i="8" s="1"/>
  <c r="L69" i="3"/>
  <c r="X121" i="8" s="1"/>
  <c r="G69" i="3"/>
  <c r="S121" i="8" s="1"/>
  <c r="Q68" i="3"/>
  <c r="AC120" i="8" s="1"/>
  <c r="L68" i="3"/>
  <c r="X120" i="8" s="1"/>
  <c r="G68" i="3"/>
  <c r="S120" i="8" s="1"/>
  <c r="Q67" i="3"/>
  <c r="AC119" i="8" s="1"/>
  <c r="L67" i="3"/>
  <c r="X119" i="8" s="1"/>
  <c r="G67" i="3"/>
  <c r="S119" i="8" s="1"/>
  <c r="Q66" i="3"/>
  <c r="AC118" i="8" s="1"/>
  <c r="L66" i="3"/>
  <c r="X118" i="8" s="1"/>
  <c r="G66" i="3"/>
  <c r="Q65" i="3"/>
  <c r="AC117" i="8" s="1"/>
  <c r="L65" i="3"/>
  <c r="X117" i="8" s="1"/>
  <c r="G65" i="3"/>
  <c r="S117" i="8" s="1"/>
  <c r="Q64" i="3"/>
  <c r="AC116" i="8" s="1"/>
  <c r="L64" i="3"/>
  <c r="X116" i="8" s="1"/>
  <c r="G64" i="3"/>
  <c r="S116" i="8" s="1"/>
  <c r="Q63" i="3"/>
  <c r="AC115" i="8" s="1"/>
  <c r="AE104" i="8"/>
  <c r="AD104" i="8"/>
  <c r="AC104" i="8"/>
  <c r="AB104" i="8"/>
  <c r="AA104" i="8"/>
  <c r="Z104" i="8"/>
  <c r="Y104" i="8"/>
  <c r="X104" i="8"/>
  <c r="W104" i="8"/>
  <c r="V104" i="8"/>
  <c r="U104" i="8"/>
  <c r="T104" i="8"/>
  <c r="AE103" i="8"/>
  <c r="AD103" i="8"/>
  <c r="AC103" i="8"/>
  <c r="AB103" i="8"/>
  <c r="AA103" i="8"/>
  <c r="Z103" i="8"/>
  <c r="Y103" i="8"/>
  <c r="X103" i="8"/>
  <c r="W103" i="8"/>
  <c r="V103" i="8"/>
  <c r="U103" i="8"/>
  <c r="T103" i="8"/>
  <c r="S104" i="8"/>
  <c r="S103" i="8"/>
  <c r="AE99" i="8"/>
  <c r="AD99" i="8"/>
  <c r="AC99" i="8"/>
  <c r="I11" i="10" s="1"/>
  <c r="AB99" i="8"/>
  <c r="AA99" i="8"/>
  <c r="Z99" i="8"/>
  <c r="Y99" i="8"/>
  <c r="X99" i="8"/>
  <c r="H11" i="10" s="1"/>
  <c r="W99" i="8"/>
  <c r="V99" i="8"/>
  <c r="U99" i="8"/>
  <c r="T99" i="8"/>
  <c r="AE98" i="8"/>
  <c r="AD98" i="8"/>
  <c r="AC98" i="8"/>
  <c r="AB98" i="8"/>
  <c r="AA98" i="8"/>
  <c r="Z98" i="8"/>
  <c r="Y98" i="8"/>
  <c r="X98" i="8"/>
  <c r="W98" i="8"/>
  <c r="V98" i="8"/>
  <c r="U98" i="8"/>
  <c r="T98" i="8"/>
  <c r="S99" i="8"/>
  <c r="G11" i="10" s="1"/>
  <c r="G20" i="10" s="1"/>
  <c r="S98" i="8"/>
  <c r="AC88" i="8"/>
  <c r="AB88" i="8"/>
  <c r="AA88" i="8"/>
  <c r="Z88" i="8"/>
  <c r="Y88" i="8"/>
  <c r="X88" i="8"/>
  <c r="W88" i="8"/>
  <c r="V88" i="8"/>
  <c r="U88" i="8"/>
  <c r="T88" i="8"/>
  <c r="AD85" i="8"/>
  <c r="AD87" i="8" s="1"/>
  <c r="AC85" i="8"/>
  <c r="AB85" i="8"/>
  <c r="AA85" i="8"/>
  <c r="AA87" i="8" s="1"/>
  <c r="Z85" i="8"/>
  <c r="Z87" i="8" s="1"/>
  <c r="Y85" i="8"/>
  <c r="Y87" i="8" s="1"/>
  <c r="X85" i="8"/>
  <c r="W85" i="8"/>
  <c r="W87" i="8" s="1"/>
  <c r="V85" i="8"/>
  <c r="V87" i="8" s="1"/>
  <c r="U85" i="8"/>
  <c r="U87" i="8" s="1"/>
  <c r="T85" i="8"/>
  <c r="AE82" i="8"/>
  <c r="AD82" i="8"/>
  <c r="AD84" i="8" s="1"/>
  <c r="AB82" i="8"/>
  <c r="AA82" i="8"/>
  <c r="Z82" i="8"/>
  <c r="Z84" i="8" s="1"/>
  <c r="Y82" i="8"/>
  <c r="Y84" i="8" s="1"/>
  <c r="X82" i="8"/>
  <c r="X84" i="8" s="1"/>
  <c r="W82" i="8"/>
  <c r="V82" i="8"/>
  <c r="V84" i="8" s="1"/>
  <c r="U82" i="8"/>
  <c r="U84" i="8" s="1"/>
  <c r="T82" i="8"/>
  <c r="T84" i="8" s="1"/>
  <c r="AE79" i="8"/>
  <c r="AD79" i="8"/>
  <c r="AD81" i="8" s="1"/>
  <c r="AC79" i="8"/>
  <c r="AB79" i="8"/>
  <c r="AA79" i="8"/>
  <c r="AA81" i="8" s="1"/>
  <c r="Z79" i="8"/>
  <c r="Z81" i="8" s="1"/>
  <c r="Y79" i="8"/>
  <c r="Y81" i="8" s="1"/>
  <c r="X79" i="8"/>
  <c r="X81" i="8" s="1"/>
  <c r="W79" i="8"/>
  <c r="V79" i="8"/>
  <c r="V81" i="8" s="1"/>
  <c r="U79" i="8"/>
  <c r="U81" i="8" s="1"/>
  <c r="T79" i="8"/>
  <c r="T81" i="8" s="1"/>
  <c r="Y76" i="8"/>
  <c r="W76" i="8"/>
  <c r="V76" i="8"/>
  <c r="U76" i="8"/>
  <c r="T76" i="8"/>
  <c r="AC72" i="8"/>
  <c r="AB72" i="8"/>
  <c r="AB74" i="8" s="1"/>
  <c r="AA72" i="8"/>
  <c r="AA74" i="8" s="1"/>
  <c r="Z72" i="8"/>
  <c r="Y72" i="8"/>
  <c r="X72" i="8"/>
  <c r="X74" i="8" s="1"/>
  <c r="W72" i="8"/>
  <c r="W74" i="8" s="1"/>
  <c r="V72" i="8"/>
  <c r="U72" i="8"/>
  <c r="T72" i="8"/>
  <c r="AE69" i="8"/>
  <c r="AD69" i="8"/>
  <c r="AC69" i="8"/>
  <c r="AB69" i="8"/>
  <c r="AB71" i="8" s="1"/>
  <c r="AA69" i="8"/>
  <c r="AA71" i="8" s="1"/>
  <c r="Z69" i="8"/>
  <c r="Y69" i="8"/>
  <c r="X69" i="8"/>
  <c r="X71" i="8" s="1"/>
  <c r="W69" i="8"/>
  <c r="W71" i="8" s="1"/>
  <c r="V69" i="8"/>
  <c r="U69" i="8"/>
  <c r="T69" i="8"/>
  <c r="T71" i="8" s="1"/>
  <c r="AE66" i="8"/>
  <c r="AD66" i="8"/>
  <c r="AD68" i="8" s="1"/>
  <c r="AC66" i="8"/>
  <c r="AB66" i="8"/>
  <c r="AA66" i="8"/>
  <c r="AA68" i="8" s="1"/>
  <c r="Z66" i="8"/>
  <c r="Y66" i="8"/>
  <c r="X66" i="8"/>
  <c r="X68" i="8" s="1"/>
  <c r="W66" i="8"/>
  <c r="W68" i="8" s="1"/>
  <c r="V66" i="8"/>
  <c r="U66" i="8"/>
  <c r="T66" i="8"/>
  <c r="S88" i="8"/>
  <c r="S85" i="8"/>
  <c r="S82" i="8"/>
  <c r="S84" i="8" s="1"/>
  <c r="S79" i="8"/>
  <c r="S81" i="8" s="1"/>
  <c r="S76" i="8"/>
  <c r="S78" i="8" s="1"/>
  <c r="S72" i="8"/>
  <c r="S69" i="8"/>
  <c r="S66" i="8"/>
  <c r="AE63" i="8"/>
  <c r="AD63" i="8"/>
  <c r="AD65" i="8" s="1"/>
  <c r="AC63" i="8"/>
  <c r="AB63" i="8"/>
  <c r="AB65" i="8" s="1"/>
  <c r="AA63" i="8"/>
  <c r="Z63" i="8"/>
  <c r="Y63" i="8"/>
  <c r="Y64" i="8" s="1"/>
  <c r="X63" i="8"/>
  <c r="X65" i="8" s="1"/>
  <c r="W63" i="8"/>
  <c r="W65" i="8" s="1"/>
  <c r="V63" i="8"/>
  <c r="U63" i="8"/>
  <c r="T63" i="8"/>
  <c r="T65" i="8" s="1"/>
  <c r="S63" i="8"/>
  <c r="S65" i="8" s="1"/>
  <c r="B85" i="8"/>
  <c r="B82" i="8"/>
  <c r="B79" i="8"/>
  <c r="B76" i="8"/>
  <c r="B72" i="8"/>
  <c r="B69" i="8"/>
  <c r="AE58" i="8"/>
  <c r="AE74" i="8" s="1"/>
  <c r="AC58" i="8"/>
  <c r="AC81" i="8" s="1"/>
  <c r="AB58" i="8"/>
  <c r="AB87" i="8" s="1"/>
  <c r="AA58" i="8"/>
  <c r="Z58" i="8"/>
  <c r="Y58" i="8"/>
  <c r="Y78" i="8" s="1"/>
  <c r="X58" i="8"/>
  <c r="W58" i="8"/>
  <c r="V58" i="8"/>
  <c r="U58" i="8"/>
  <c r="U68" i="8" s="1"/>
  <c r="T58" i="8"/>
  <c r="S58" i="8"/>
  <c r="AE55" i="8"/>
  <c r="AD55" i="8"/>
  <c r="AC55" i="8"/>
  <c r="AB55" i="8"/>
  <c r="AA55" i="8"/>
  <c r="Z55" i="8"/>
  <c r="Y55" i="8"/>
  <c r="X55" i="8"/>
  <c r="W55" i="8"/>
  <c r="V55" i="8"/>
  <c r="U55" i="8"/>
  <c r="T55" i="8"/>
  <c r="AE52" i="8"/>
  <c r="AD52" i="8"/>
  <c r="AC52" i="8"/>
  <c r="AB52" i="8"/>
  <c r="AA52" i="8"/>
  <c r="Z52" i="8"/>
  <c r="Y52" i="8"/>
  <c r="X52" i="8"/>
  <c r="W52" i="8"/>
  <c r="V52" i="8"/>
  <c r="U52" i="8"/>
  <c r="T52" i="8"/>
  <c r="AE49" i="8"/>
  <c r="AD49" i="8"/>
  <c r="AC49" i="8"/>
  <c r="AB49" i="8"/>
  <c r="AA49" i="8"/>
  <c r="Z49" i="8"/>
  <c r="Y49" i="8"/>
  <c r="X49" i="8"/>
  <c r="W49" i="8"/>
  <c r="V49" i="8"/>
  <c r="U49" i="8"/>
  <c r="T49" i="8"/>
  <c r="AE46" i="8"/>
  <c r="AD46" i="8"/>
  <c r="AC46" i="8"/>
  <c r="AB46" i="8"/>
  <c r="AA46" i="8"/>
  <c r="Z46" i="8"/>
  <c r="Y46" i="8"/>
  <c r="X46" i="8"/>
  <c r="W46" i="8"/>
  <c r="V46" i="8"/>
  <c r="U46" i="8"/>
  <c r="T46" i="8"/>
  <c r="AE43" i="8"/>
  <c r="AD43" i="8"/>
  <c r="AC43" i="8"/>
  <c r="AB43" i="8"/>
  <c r="AA43" i="8"/>
  <c r="Z43" i="8"/>
  <c r="Y43" i="8"/>
  <c r="X43" i="8"/>
  <c r="W43" i="8"/>
  <c r="V43" i="8"/>
  <c r="U43" i="8"/>
  <c r="T43" i="8"/>
  <c r="AE40" i="8"/>
  <c r="AD40" i="8"/>
  <c r="AC40" i="8"/>
  <c r="AB40" i="8"/>
  <c r="AA40" i="8"/>
  <c r="Z40" i="8"/>
  <c r="Y40" i="8"/>
  <c r="X40" i="8"/>
  <c r="W40" i="8"/>
  <c r="V40" i="8"/>
  <c r="U40" i="8"/>
  <c r="T40" i="8"/>
  <c r="S55" i="8"/>
  <c r="S52" i="8"/>
  <c r="S49" i="8"/>
  <c r="S46" i="8"/>
  <c r="S43" i="8"/>
  <c r="S40" i="8"/>
  <c r="B58" i="8"/>
  <c r="B55" i="8"/>
  <c r="B52" i="8"/>
  <c r="B49" i="8"/>
  <c r="B46" i="8"/>
  <c r="B43" i="8"/>
  <c r="B40" i="8"/>
  <c r="S35" i="8"/>
  <c r="AE35" i="8"/>
  <c r="AD35" i="8"/>
  <c r="AC35" i="8"/>
  <c r="AB35" i="8"/>
  <c r="AA35" i="8"/>
  <c r="Z35" i="8"/>
  <c r="Y35" i="8"/>
  <c r="X35" i="8"/>
  <c r="W35" i="8"/>
  <c r="V35" i="8"/>
  <c r="U35" i="8"/>
  <c r="T35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AE23" i="8"/>
  <c r="AD23" i="8"/>
  <c r="AC23" i="8"/>
  <c r="AC25" i="8" s="1"/>
  <c r="AB23" i="8"/>
  <c r="AA23" i="8"/>
  <c r="Z23" i="8"/>
  <c r="Y23" i="8"/>
  <c r="X23" i="8"/>
  <c r="X25" i="8" s="1"/>
  <c r="W23" i="8"/>
  <c r="V23" i="8"/>
  <c r="U23" i="8"/>
  <c r="T23" i="8"/>
  <c r="S23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B29" i="8"/>
  <c r="B26" i="8"/>
  <c r="B23" i="8"/>
  <c r="B20" i="8"/>
  <c r="B17" i="8"/>
  <c r="AE95" i="8"/>
  <c r="AD95" i="8"/>
  <c r="AC13" i="8"/>
  <c r="AB13" i="8"/>
  <c r="AB95" i="8" s="1"/>
  <c r="AA13" i="8"/>
  <c r="AA95" i="8" s="1"/>
  <c r="Z13" i="8"/>
  <c r="Z95" i="8" s="1"/>
  <c r="Y13" i="8"/>
  <c r="Y95" i="8" s="1"/>
  <c r="X13" i="8"/>
  <c r="W13" i="8"/>
  <c r="W95" i="8" s="1"/>
  <c r="V13" i="8"/>
  <c r="V95" i="8" s="1"/>
  <c r="U13" i="8"/>
  <c r="U95" i="8" s="1"/>
  <c r="T13" i="8"/>
  <c r="T95" i="8" s="1"/>
  <c r="S13" i="8"/>
  <c r="J68" i="11"/>
  <c r="I68" i="11"/>
  <c r="Q38" i="11"/>
  <c r="P38" i="11"/>
  <c r="C35" i="11"/>
  <c r="D35" i="11" s="1"/>
  <c r="A14" i="11"/>
  <c r="A15" i="11" s="1"/>
  <c r="A16" i="11" s="1"/>
  <c r="A17" i="11" s="1"/>
  <c r="A18" i="11" s="1"/>
  <c r="A19" i="11" s="1"/>
  <c r="A20" i="11" s="1"/>
  <c r="A21" i="11" s="1"/>
  <c r="A22" i="11" s="1"/>
  <c r="B13" i="11"/>
  <c r="AA9" i="11"/>
  <c r="AC9" i="11" s="1"/>
  <c r="Z9" i="11"/>
  <c r="AB9" i="11" s="1"/>
  <c r="V9" i="11"/>
  <c r="U9" i="11"/>
  <c r="O9" i="11"/>
  <c r="N9" i="11"/>
  <c r="L17" i="10"/>
  <c r="K17" i="10"/>
  <c r="J17" i="10"/>
  <c r="G17" i="10"/>
  <c r="G27" i="10"/>
  <c r="H3" i="10"/>
  <c r="F3" i="8"/>
  <c r="G3" i="8" s="1"/>
  <c r="G4" i="8" s="1"/>
  <c r="AC25" i="11" l="1"/>
  <c r="AA25" i="11"/>
  <c r="C15" i="11"/>
  <c r="C16" i="11"/>
  <c r="E35" i="11"/>
  <c r="D11" i="11"/>
  <c r="D15" i="11"/>
  <c r="D16" i="11"/>
  <c r="D18" i="11"/>
  <c r="AH10" i="8"/>
  <c r="J14" i="10"/>
  <c r="K14" i="10"/>
  <c r="L14" i="10"/>
  <c r="C13" i="10"/>
  <c r="AC71" i="8"/>
  <c r="Z65" i="8"/>
  <c r="S87" i="8"/>
  <c r="T78" i="8"/>
  <c r="AA84" i="8"/>
  <c r="AA65" i="8"/>
  <c r="AE68" i="8"/>
  <c r="AE71" i="8"/>
  <c r="U78" i="8"/>
  <c r="AB81" i="8"/>
  <c r="AF81" i="8" s="1"/>
  <c r="AG81" i="8" s="1"/>
  <c r="AB84" i="8"/>
  <c r="T68" i="8"/>
  <c r="T74" i="8"/>
  <c r="V78" i="8"/>
  <c r="AC74" i="8"/>
  <c r="X14" i="8"/>
  <c r="U71" i="8"/>
  <c r="U74" i="8"/>
  <c r="W78" i="8"/>
  <c r="AE84" i="8"/>
  <c r="V68" i="8"/>
  <c r="V71" i="8"/>
  <c r="V74" i="8"/>
  <c r="AE81" i="8"/>
  <c r="T87" i="8"/>
  <c r="AE78" i="8"/>
  <c r="AC68" i="8"/>
  <c r="X78" i="8"/>
  <c r="AC84" i="8"/>
  <c r="AE65" i="8"/>
  <c r="S71" i="8"/>
  <c r="Y68" i="8"/>
  <c r="Y71" i="8"/>
  <c r="Y74" i="8"/>
  <c r="AF74" i="8" s="1"/>
  <c r="AG74" i="8" s="1"/>
  <c r="V65" i="8"/>
  <c r="S74" i="8"/>
  <c r="Z68" i="8"/>
  <c r="Z71" i="8"/>
  <c r="Z74" i="8"/>
  <c r="W81" i="8"/>
  <c r="W84" i="8"/>
  <c r="X87" i="8"/>
  <c r="AE87" i="8"/>
  <c r="AA78" i="8"/>
  <c r="AF84" i="8"/>
  <c r="AF71" i="8"/>
  <c r="AC65" i="8"/>
  <c r="AB68" i="8"/>
  <c r="U65" i="8"/>
  <c r="S68" i="8"/>
  <c r="AB78" i="8"/>
  <c r="AC78" i="8"/>
  <c r="Y65" i="8"/>
  <c r="AE64" i="8"/>
  <c r="AA19" i="8"/>
  <c r="J69" i="11"/>
  <c r="C14" i="11"/>
  <c r="C17" i="11"/>
  <c r="C18" i="11"/>
  <c r="C20" i="11"/>
  <c r="C21" i="11"/>
  <c r="F39" i="11"/>
  <c r="G39" i="11" s="1"/>
  <c r="D17" i="11"/>
  <c r="D20" i="11"/>
  <c r="D22" i="11"/>
  <c r="H69" i="11"/>
  <c r="E18" i="11"/>
  <c r="J30" i="11"/>
  <c r="J31" i="11" s="1"/>
  <c r="J32" i="11" s="1"/>
  <c r="P30" i="11"/>
  <c r="P31" i="11" s="1"/>
  <c r="P32" i="11" s="1"/>
  <c r="D69" i="11"/>
  <c r="Q30" i="11"/>
  <c r="Q31" i="11" s="1"/>
  <c r="Q32" i="11" s="1"/>
  <c r="E69" i="11"/>
  <c r="AB24" i="11"/>
  <c r="F30" i="11" s="1"/>
  <c r="R30" i="11"/>
  <c r="R31" i="11" s="1"/>
  <c r="R32" i="11" s="1"/>
  <c r="F69" i="11"/>
  <c r="G69" i="11"/>
  <c r="I69" i="11"/>
  <c r="N17" i="11"/>
  <c r="C10" i="10"/>
  <c r="C15" i="10" s="1"/>
  <c r="AD19" i="8"/>
  <c r="I21" i="10"/>
  <c r="Z19" i="8"/>
  <c r="AB19" i="8"/>
  <c r="AB25" i="8"/>
  <c r="Z25" i="8"/>
  <c r="U60" i="8"/>
  <c r="S90" i="8"/>
  <c r="AB22" i="8"/>
  <c r="Z28" i="8"/>
  <c r="Z31" i="8"/>
  <c r="Z37" i="8"/>
  <c r="AC64" i="8"/>
  <c r="S19" i="8"/>
  <c r="AE19" i="8"/>
  <c r="AB28" i="8"/>
  <c r="W22" i="8"/>
  <c r="Y28" i="8"/>
  <c r="V42" i="8"/>
  <c r="V54" i="8"/>
  <c r="AC19" i="8"/>
  <c r="Y31" i="8"/>
  <c r="Y37" i="8"/>
  <c r="W51" i="8"/>
  <c r="T19" i="8"/>
  <c r="U19" i="8"/>
  <c r="T22" i="8"/>
  <c r="S25" i="8"/>
  <c r="AE25" i="8"/>
  <c r="AD28" i="8"/>
  <c r="AC31" i="8"/>
  <c r="AC37" i="8"/>
  <c r="S45" i="8"/>
  <c r="AA45" i="8"/>
  <c r="AA48" i="8"/>
  <c r="Z60" i="8"/>
  <c r="AC90" i="8"/>
  <c r="V19" i="8"/>
  <c r="W19" i="8"/>
  <c r="V22" i="8"/>
  <c r="U25" i="8"/>
  <c r="T28" i="8"/>
  <c r="S31" i="8"/>
  <c r="AE31" i="8"/>
  <c r="AE37" i="8"/>
  <c r="S51" i="8"/>
  <c r="X19" i="8"/>
  <c r="V25" i="8"/>
  <c r="U28" i="8"/>
  <c r="T31" i="8"/>
  <c r="T37" i="8"/>
  <c r="S37" i="8"/>
  <c r="S54" i="8"/>
  <c r="AD90" i="8"/>
  <c r="Y19" i="8"/>
  <c r="AA51" i="8"/>
  <c r="U22" i="8"/>
  <c r="T25" i="8"/>
  <c r="S28" i="8"/>
  <c r="AE28" i="8"/>
  <c r="AD31" i="8"/>
  <c r="AD37" i="8"/>
  <c r="S48" i="8"/>
  <c r="AB42" i="8"/>
  <c r="AB45" i="8"/>
  <c r="AB48" i="8"/>
  <c r="AB51" i="8"/>
  <c r="AB54" i="8"/>
  <c r="AB57" i="8"/>
  <c r="AA54" i="8"/>
  <c r="AC42" i="8"/>
  <c r="AC45" i="8"/>
  <c r="AC48" i="8"/>
  <c r="AC51" i="8"/>
  <c r="AC54" i="8"/>
  <c r="AC57" i="8"/>
  <c r="AD42" i="8"/>
  <c r="AD45" i="8"/>
  <c r="AD48" i="8"/>
  <c r="AD51" i="8"/>
  <c r="AD54" i="8"/>
  <c r="AD57" i="8"/>
  <c r="T90" i="8"/>
  <c r="X22" i="8"/>
  <c r="W25" i="8"/>
  <c r="V28" i="8"/>
  <c r="U31" i="8"/>
  <c r="U37" i="8"/>
  <c r="S57" i="8"/>
  <c r="AE42" i="8"/>
  <c r="AE45" i="8"/>
  <c r="AE48" i="8"/>
  <c r="AE51" i="8"/>
  <c r="AE54" i="8"/>
  <c r="AE57" i="8"/>
  <c r="AE60" i="8"/>
  <c r="U90" i="8"/>
  <c r="Y22" i="8"/>
  <c r="W28" i="8"/>
  <c r="V31" i="8"/>
  <c r="V37" i="8"/>
  <c r="T42" i="8"/>
  <c r="T45" i="8"/>
  <c r="T48" i="8"/>
  <c r="T51" i="8"/>
  <c r="T54" i="8"/>
  <c r="T57" i="8"/>
  <c r="V90" i="8"/>
  <c r="AD60" i="8"/>
  <c r="Z22" i="8"/>
  <c r="Y25" i="8"/>
  <c r="X28" i="8"/>
  <c r="W31" i="8"/>
  <c r="W37" i="8"/>
  <c r="U42" i="8"/>
  <c r="U45" i="8"/>
  <c r="U48" i="8"/>
  <c r="U51" i="8"/>
  <c r="U54" i="8"/>
  <c r="U57" i="8"/>
  <c r="T60" i="8"/>
  <c r="W90" i="8"/>
  <c r="AA42" i="8"/>
  <c r="AA22" i="8"/>
  <c r="X31" i="8"/>
  <c r="X37" i="8"/>
  <c r="V45" i="8"/>
  <c r="V48" i="8"/>
  <c r="V51" i="8"/>
  <c r="V57" i="8"/>
  <c r="X90" i="8"/>
  <c r="AA57" i="8"/>
  <c r="AA25" i="8"/>
  <c r="W42" i="8"/>
  <c r="W45" i="8"/>
  <c r="W48" i="8"/>
  <c r="W54" i="8"/>
  <c r="W57" i="8"/>
  <c r="V60" i="8"/>
  <c r="Y90" i="8"/>
  <c r="AC22" i="8"/>
  <c r="AA28" i="8"/>
  <c r="X42" i="8"/>
  <c r="X45" i="8"/>
  <c r="X48" i="8"/>
  <c r="X51" i="8"/>
  <c r="X54" i="8"/>
  <c r="X57" i="8"/>
  <c r="Z90" i="8"/>
  <c r="AD22" i="8"/>
  <c r="AA31" i="8"/>
  <c r="AA37" i="8"/>
  <c r="Y42" i="8"/>
  <c r="Y45" i="8"/>
  <c r="Y48" i="8"/>
  <c r="Y51" i="8"/>
  <c r="Y54" i="8"/>
  <c r="Y57" i="8"/>
  <c r="AA90" i="8"/>
  <c r="S22" i="8"/>
  <c r="AE22" i="8"/>
  <c r="AD25" i="8"/>
  <c r="AC28" i="8"/>
  <c r="AB31" i="8"/>
  <c r="AB37" i="8"/>
  <c r="S42" i="8"/>
  <c r="Z42" i="8"/>
  <c r="Z45" i="8"/>
  <c r="Z48" i="8"/>
  <c r="Z51" i="8"/>
  <c r="Z54" i="8"/>
  <c r="Z57" i="8"/>
  <c r="Y60" i="8"/>
  <c r="AB90" i="8"/>
  <c r="AE90" i="8"/>
  <c r="H21" i="10"/>
  <c r="K21" i="10"/>
  <c r="L21" i="10"/>
  <c r="C20" i="10" s="1"/>
  <c r="AC93" i="8"/>
  <c r="X93" i="8"/>
  <c r="S60" i="8"/>
  <c r="W60" i="8"/>
  <c r="X60" i="8"/>
  <c r="AC59" i="8"/>
  <c r="AE59" i="8"/>
  <c r="AA60" i="8"/>
  <c r="AB60" i="8"/>
  <c r="AC60" i="8"/>
  <c r="S93" i="8"/>
  <c r="Q7" i="1"/>
  <c r="AF13" i="8" s="1"/>
  <c r="AF14" i="8" s="1"/>
  <c r="P7" i="1"/>
  <c r="AG13" i="8" s="1"/>
  <c r="AC30" i="8"/>
  <c r="Y18" i="8"/>
  <c r="AA67" i="8"/>
  <c r="AA83" i="8"/>
  <c r="AE30" i="8"/>
  <c r="X30" i="8"/>
  <c r="AE27" i="8"/>
  <c r="AB30" i="8"/>
  <c r="Y30" i="8"/>
  <c r="Z30" i="8"/>
  <c r="AA30" i="8"/>
  <c r="X27" i="8"/>
  <c r="AD30" i="8"/>
  <c r="Z27" i="8"/>
  <c r="AC27" i="8"/>
  <c r="Y27" i="8"/>
  <c r="AA27" i="8"/>
  <c r="AB27" i="8"/>
  <c r="AD27" i="8"/>
  <c r="X24" i="8"/>
  <c r="Y24" i="8"/>
  <c r="Z24" i="8"/>
  <c r="AA24" i="8"/>
  <c r="AC21" i="8"/>
  <c r="AB24" i="8"/>
  <c r="AC24" i="8"/>
  <c r="AD24" i="8"/>
  <c r="AE24" i="8"/>
  <c r="X21" i="8"/>
  <c r="Y21" i="8"/>
  <c r="Z21" i="8"/>
  <c r="Y133" i="8"/>
  <c r="AA21" i="8"/>
  <c r="AB21" i="8"/>
  <c r="AD21" i="8"/>
  <c r="AE21" i="8"/>
  <c r="AB18" i="8"/>
  <c r="Z64" i="8"/>
  <c r="AD70" i="8"/>
  <c r="AD83" i="8"/>
  <c r="Z129" i="8"/>
  <c r="R129" i="8"/>
  <c r="AD129" i="8"/>
  <c r="AD130" i="8" s="1"/>
  <c r="AE133" i="8"/>
  <c r="Q129" i="8"/>
  <c r="U129" i="8"/>
  <c r="U133" i="8"/>
  <c r="V133" i="8"/>
  <c r="W133" i="8"/>
  <c r="T129" i="8"/>
  <c r="X129" i="8"/>
  <c r="O129" i="8"/>
  <c r="X133" i="8"/>
  <c r="AB133" i="8"/>
  <c r="AC18" i="8"/>
  <c r="Z77" i="8"/>
  <c r="Z89" i="8"/>
  <c r="V129" i="8"/>
  <c r="Z133" i="8"/>
  <c r="W129" i="8"/>
  <c r="AE129" i="8"/>
  <c r="AE130" i="8" s="1"/>
  <c r="AA133" i="8"/>
  <c r="Y129" i="8"/>
  <c r="AC133" i="8"/>
  <c r="AC129" i="8"/>
  <c r="AD133" i="8"/>
  <c r="AA129" i="8"/>
  <c r="P129" i="8"/>
  <c r="AB129" i="8"/>
  <c r="T133" i="8"/>
  <c r="X18" i="8"/>
  <c r="Z18" i="8"/>
  <c r="AA18" i="8"/>
  <c r="AD18" i="8"/>
  <c r="AE18" i="8"/>
  <c r="AB67" i="8"/>
  <c r="AB64" i="8"/>
  <c r="AD59" i="8"/>
  <c r="AA73" i="8"/>
  <c r="X77" i="8"/>
  <c r="X89" i="8"/>
  <c r="Y67" i="8"/>
  <c r="AB70" i="8"/>
  <c r="AB83" i="8"/>
  <c r="X67" i="8"/>
  <c r="X80" i="8"/>
  <c r="AA70" i="8"/>
  <c r="AA77" i="8"/>
  <c r="AA86" i="8"/>
  <c r="AA89" i="8"/>
  <c r="Y70" i="8"/>
  <c r="Y83" i="8"/>
  <c r="Y80" i="8"/>
  <c r="AE86" i="8"/>
  <c r="AA80" i="8"/>
  <c r="Y89" i="8"/>
  <c r="AB80" i="8"/>
  <c r="AC67" i="8"/>
  <c r="AC80" i="8"/>
  <c r="AE70" i="8"/>
  <c r="X73" i="8"/>
  <c r="AE73" i="8"/>
  <c r="AE83" i="8"/>
  <c r="Y77" i="8"/>
  <c r="AA41" i="8"/>
  <c r="AA47" i="8"/>
  <c r="AA50" i="8"/>
  <c r="AA53" i="8"/>
  <c r="AA56" i="8"/>
  <c r="Z59" i="8"/>
  <c r="AB44" i="8"/>
  <c r="AA64" i="8"/>
  <c r="AC44" i="8"/>
  <c r="AD67" i="8"/>
  <c r="AD80" i="8"/>
  <c r="X86" i="8"/>
  <c r="AE67" i="8"/>
  <c r="Y73" i="8"/>
  <c r="AB77" i="8"/>
  <c r="AE80" i="8"/>
  <c r="Y86" i="8"/>
  <c r="AB89" i="8"/>
  <c r="AD64" i="8"/>
  <c r="Z73" i="8"/>
  <c r="AC77" i="8"/>
  <c r="Z86" i="8"/>
  <c r="AC89" i="8"/>
  <c r="X70" i="8"/>
  <c r="AD77" i="8"/>
  <c r="X83" i="8"/>
  <c r="AD89" i="8"/>
  <c r="AB73" i="8"/>
  <c r="AE77" i="8"/>
  <c r="AB86" i="8"/>
  <c r="AE89" i="8"/>
  <c r="Z70" i="8"/>
  <c r="AC73" i="8"/>
  <c r="Z83" i="8"/>
  <c r="AC86" i="8"/>
  <c r="AD73" i="8"/>
  <c r="AD86" i="8"/>
  <c r="Z67" i="8"/>
  <c r="AC70" i="8"/>
  <c r="Z80" i="8"/>
  <c r="AC83" i="8"/>
  <c r="X64" i="8"/>
  <c r="AE41" i="8"/>
  <c r="AE47" i="8"/>
  <c r="X41" i="8"/>
  <c r="Y56" i="8"/>
  <c r="X59" i="8"/>
  <c r="AE53" i="8"/>
  <c r="AC50" i="8"/>
  <c r="Y41" i="8"/>
  <c r="AA59" i="8"/>
  <c r="Z44" i="8"/>
  <c r="AD53" i="8"/>
  <c r="X53" i="8"/>
  <c r="Y47" i="8"/>
  <c r="Z50" i="8"/>
  <c r="X36" i="8"/>
  <c r="AB14" i="8"/>
  <c r="AC41" i="8"/>
  <c r="AC47" i="8"/>
  <c r="AC53" i="8"/>
  <c r="Z36" i="8"/>
  <c r="AB53" i="8"/>
  <c r="AE36" i="8"/>
  <c r="AB47" i="8"/>
  <c r="AE50" i="8"/>
  <c r="AB56" i="8"/>
  <c r="Y59" i="8"/>
  <c r="X44" i="8"/>
  <c r="AC56" i="8"/>
  <c r="Y44" i="8"/>
  <c r="AD47" i="8"/>
  <c r="Y53" i="8"/>
  <c r="AD56" i="8"/>
  <c r="AA44" i="8"/>
  <c r="Z53" i="8"/>
  <c r="AE56" i="8"/>
  <c r="AB59" i="8"/>
  <c r="X50" i="8"/>
  <c r="Y36" i="8"/>
  <c r="Z41" i="8"/>
  <c r="AD44" i="8"/>
  <c r="Y50" i="8"/>
  <c r="AE44" i="8"/>
  <c r="AA36" i="8"/>
  <c r="AB41" i="8"/>
  <c r="X47" i="8"/>
  <c r="X56" i="8"/>
  <c r="AB36" i="8"/>
  <c r="AB50" i="8"/>
  <c r="AC36" i="8"/>
  <c r="AD41" i="8"/>
  <c r="Z47" i="8"/>
  <c r="Z56" i="8"/>
  <c r="AD36" i="8"/>
  <c r="AD50" i="8"/>
  <c r="AE14" i="8"/>
  <c r="Z14" i="8"/>
  <c r="AA14" i="8"/>
  <c r="AD14" i="8"/>
  <c r="Y14" i="8"/>
  <c r="N11" i="11"/>
  <c r="N18" i="11"/>
  <c r="O20" i="11"/>
  <c r="O11" i="11"/>
  <c r="O18" i="11"/>
  <c r="E17" i="11"/>
  <c r="N14" i="11"/>
  <c r="O14" i="11"/>
  <c r="D14" i="11"/>
  <c r="H3" i="8"/>
  <c r="H4" i="8" s="1"/>
  <c r="F4" i="8"/>
  <c r="H5" i="10"/>
  <c r="AB25" i="11"/>
  <c r="F31" i="11" s="1"/>
  <c r="I3" i="10"/>
  <c r="I17" i="10" s="1"/>
  <c r="H17" i="10"/>
  <c r="E32" i="11"/>
  <c r="Z25" i="11"/>
  <c r="E31" i="11" s="1"/>
  <c r="Z24" i="11"/>
  <c r="O19" i="11"/>
  <c r="D19" i="11"/>
  <c r="C19" i="11"/>
  <c r="C13" i="11"/>
  <c r="O13" i="11"/>
  <c r="N13" i="11"/>
  <c r="E13" i="11"/>
  <c r="E19" i="11"/>
  <c r="D13" i="11"/>
  <c r="E22" i="11"/>
  <c r="D29" i="11"/>
  <c r="O17" i="11"/>
  <c r="E21" i="11"/>
  <c r="D21" i="11"/>
  <c r="E14" i="11"/>
  <c r="E11" i="11"/>
  <c r="C11" i="11"/>
  <c r="E20" i="11"/>
  <c r="F35" i="11"/>
  <c r="N20" i="11"/>
  <c r="X25" i="11" l="1"/>
  <c r="D31" i="11" s="1"/>
  <c r="AC24" i="11"/>
  <c r="AA24" i="11"/>
  <c r="Y24" i="11"/>
  <c r="F16" i="11"/>
  <c r="F15" i="11"/>
  <c r="D32" i="11"/>
  <c r="E15" i="11"/>
  <c r="E16" i="11"/>
  <c r="E29" i="11"/>
  <c r="F32" i="11"/>
  <c r="V32" i="11" s="1"/>
  <c r="Z32" i="11" s="1"/>
  <c r="F29" i="11"/>
  <c r="V29" i="11" s="1"/>
  <c r="Z29" i="11" s="1"/>
  <c r="G18" i="10"/>
  <c r="G19" i="10"/>
  <c r="G79" i="11"/>
  <c r="G81" i="11" s="1"/>
  <c r="J79" i="11"/>
  <c r="J81" i="11" s="1"/>
  <c r="H79" i="11"/>
  <c r="H81" i="11" s="1"/>
  <c r="D79" i="11"/>
  <c r="D81" i="11" s="1"/>
  <c r="F81" i="11"/>
  <c r="E79" i="11"/>
  <c r="E81" i="11" s="1"/>
  <c r="I79" i="11"/>
  <c r="I81" i="11" s="1"/>
  <c r="V30" i="11"/>
  <c r="Z30" i="11" s="1"/>
  <c r="V31" i="11"/>
  <c r="Z31" i="11" s="1"/>
  <c r="AF68" i="8"/>
  <c r="AG68" i="8" s="1"/>
  <c r="AF51" i="8"/>
  <c r="AG71" i="8"/>
  <c r="AG84" i="8"/>
  <c r="AF65" i="8"/>
  <c r="AF25" i="8"/>
  <c r="AG25" i="8" s="1"/>
  <c r="AG23" i="8" s="1"/>
  <c r="X24" i="11"/>
  <c r="D30" i="11" s="1"/>
  <c r="N19" i="11"/>
  <c r="F13" i="11"/>
  <c r="Y25" i="11"/>
  <c r="AF45" i="8"/>
  <c r="AG45" i="8" s="1"/>
  <c r="AG43" i="8" s="1"/>
  <c r="AF54" i="8"/>
  <c r="X95" i="8"/>
  <c r="AG51" i="8"/>
  <c r="AG49" i="8" s="1"/>
  <c r="AF48" i="8"/>
  <c r="AG48" i="8" s="1"/>
  <c r="AG46" i="8" s="1"/>
  <c r="AF42" i="8"/>
  <c r="AG42" i="8" s="1"/>
  <c r="AG40" i="8" s="1"/>
  <c r="AC94" i="8"/>
  <c r="S95" i="8"/>
  <c r="G8" i="10"/>
  <c r="AC95" i="8"/>
  <c r="X94" i="8"/>
  <c r="AF95" i="8"/>
  <c r="AG95" i="8"/>
  <c r="AG14" i="8"/>
  <c r="S32" i="8"/>
  <c r="S34" i="8" s="1"/>
  <c r="U32" i="8"/>
  <c r="U34" i="8" s="1"/>
  <c r="V32" i="8"/>
  <c r="V34" i="8" s="1"/>
  <c r="T32" i="8"/>
  <c r="T34" i="8" s="1"/>
  <c r="AD32" i="8"/>
  <c r="AD34" i="8" s="1"/>
  <c r="X32" i="8"/>
  <c r="X34" i="8" s="1"/>
  <c r="AA32" i="8"/>
  <c r="AA34" i="8" s="1"/>
  <c r="W32" i="8"/>
  <c r="W34" i="8" s="1"/>
  <c r="Y32" i="8"/>
  <c r="Y34" i="8" s="1"/>
  <c r="AC32" i="8"/>
  <c r="AC34" i="8" s="1"/>
  <c r="AE32" i="8"/>
  <c r="AE34" i="8" s="1"/>
  <c r="AB32" i="8"/>
  <c r="AB34" i="8" s="1"/>
  <c r="Z32" i="8"/>
  <c r="Z34" i="8" s="1"/>
  <c r="H12" i="10"/>
  <c r="I20" i="10"/>
  <c r="C34" i="10" s="1"/>
  <c r="H20" i="10"/>
  <c r="I12" i="10"/>
  <c r="I5" i="10"/>
  <c r="F19" i="11"/>
  <c r="F22" i="11"/>
  <c r="F21" i="11"/>
  <c r="H18" i="10"/>
  <c r="G35" i="11"/>
  <c r="F20" i="11"/>
  <c r="F14" i="11"/>
  <c r="F11" i="11"/>
  <c r="F17" i="11"/>
  <c r="E30" i="11"/>
  <c r="I18" i="10"/>
  <c r="G16" i="11" l="1"/>
  <c r="G15" i="11"/>
  <c r="F18" i="11"/>
  <c r="F82" i="11"/>
  <c r="E82" i="11"/>
  <c r="AG65" i="8"/>
  <c r="AG54" i="8"/>
  <c r="AG52" i="8" s="1"/>
  <c r="AF52" i="8"/>
  <c r="AH52" i="8" s="1"/>
  <c r="AF23" i="8"/>
  <c r="AH23" i="8" s="1"/>
  <c r="AF43" i="8"/>
  <c r="AH43" i="8" s="1"/>
  <c r="AF49" i="8"/>
  <c r="AH49" i="8" s="1"/>
  <c r="AF40" i="8"/>
  <c r="AH40" i="8" s="1"/>
  <c r="AF46" i="8"/>
  <c r="AH46" i="8" s="1"/>
  <c r="AF34" i="8"/>
  <c r="AF32" i="8" s="1"/>
  <c r="X33" i="8"/>
  <c r="AD33" i="8"/>
  <c r="C35" i="10"/>
  <c r="C36" i="10" s="1"/>
  <c r="Y33" i="8"/>
  <c r="AA33" i="8"/>
  <c r="AC33" i="8"/>
  <c r="Z33" i="8"/>
  <c r="AB33" i="8"/>
  <c r="AE33" i="8"/>
  <c r="I30" i="10"/>
  <c r="J30" i="10" s="1"/>
  <c r="I28" i="10"/>
  <c r="J28" i="10" s="1"/>
  <c r="I8" i="10"/>
  <c r="I9" i="10"/>
  <c r="I19" i="10"/>
  <c r="H35" i="11"/>
  <c r="I35" i="11" s="1"/>
  <c r="J35" i="11" s="1"/>
  <c r="K35" i="11" s="1"/>
  <c r="G18" i="11"/>
  <c r="G17" i="11"/>
  <c r="G20" i="11"/>
  <c r="G14" i="11"/>
  <c r="G11" i="11"/>
  <c r="G13" i="11"/>
  <c r="G19" i="11"/>
  <c r="G21" i="11"/>
  <c r="G22" i="11"/>
  <c r="H9" i="10"/>
  <c r="H8" i="10"/>
  <c r="H19" i="10"/>
  <c r="I11" i="11" l="1"/>
  <c r="I15" i="11"/>
  <c r="I16" i="11"/>
  <c r="AG34" i="8"/>
  <c r="AG32" i="8" s="1"/>
  <c r="AH32" i="8" s="1"/>
  <c r="L35" i="11"/>
  <c r="I17" i="11"/>
  <c r="I20" i="11"/>
  <c r="I14" i="11"/>
  <c r="I18" i="11"/>
  <c r="I13" i="11"/>
  <c r="I21" i="11"/>
  <c r="I19" i="11"/>
  <c r="I22" i="11"/>
  <c r="J15" i="11" l="1"/>
  <c r="J16" i="11"/>
  <c r="AH24" i="8"/>
  <c r="AG35" i="8"/>
  <c r="AG58" i="8" s="1"/>
  <c r="AF35" i="8"/>
  <c r="AF58" i="8" s="1"/>
  <c r="M35" i="11"/>
  <c r="J20" i="11"/>
  <c r="J14" i="11"/>
  <c r="J18" i="11"/>
  <c r="J17" i="11"/>
  <c r="J11" i="11"/>
  <c r="Q11" i="11" s="1"/>
  <c r="J19" i="11"/>
  <c r="U19" i="11" s="1"/>
  <c r="J13" i="11"/>
  <c r="J21" i="11"/>
  <c r="U21" i="11" s="1"/>
  <c r="J22" i="11"/>
  <c r="K16" i="11" l="1"/>
  <c r="U16" i="11"/>
  <c r="Q16" i="11"/>
  <c r="U15" i="11"/>
  <c r="Q15" i="11"/>
  <c r="AF79" i="8"/>
  <c r="AF66" i="8"/>
  <c r="AF69" i="8"/>
  <c r="AF82" i="8"/>
  <c r="AF63" i="8"/>
  <c r="AG79" i="8"/>
  <c r="AG69" i="8"/>
  <c r="AG82" i="8"/>
  <c r="AG66" i="8"/>
  <c r="AG63" i="8"/>
  <c r="AG37" i="8"/>
  <c r="AF37" i="8"/>
  <c r="AG60" i="8"/>
  <c r="AG36" i="8"/>
  <c r="AF36" i="8"/>
  <c r="N35" i="11"/>
  <c r="K17" i="11"/>
  <c r="K20" i="11"/>
  <c r="K21" i="11"/>
  <c r="K18" i="11"/>
  <c r="K14" i="11"/>
  <c r="K22" i="11"/>
  <c r="K19" i="11"/>
  <c r="K13" i="11"/>
  <c r="K11" i="11"/>
  <c r="H29" i="11" s="1"/>
  <c r="Q19" i="11"/>
  <c r="Q22" i="11"/>
  <c r="U22" i="11"/>
  <c r="Q17" i="11"/>
  <c r="U17" i="11"/>
  <c r="Q13" i="11"/>
  <c r="U13" i="11"/>
  <c r="U11" i="11"/>
  <c r="U18" i="11"/>
  <c r="Q18" i="11"/>
  <c r="Q21" i="11"/>
  <c r="Q14" i="11"/>
  <c r="U14" i="11"/>
  <c r="Q20" i="11"/>
  <c r="U20" i="11"/>
  <c r="L15" i="11" l="1"/>
  <c r="S15" i="11" s="1"/>
  <c r="L16" i="11"/>
  <c r="S16" i="11" s="1"/>
  <c r="R15" i="11"/>
  <c r="V15" i="11"/>
  <c r="R16" i="11"/>
  <c r="V16" i="11"/>
  <c r="AF72" i="8"/>
  <c r="AH63" i="8"/>
  <c r="AG85" i="8"/>
  <c r="AG87" i="8" s="1"/>
  <c r="AG72" i="8"/>
  <c r="AG76" i="8" s="1"/>
  <c r="AG88" i="8" s="1"/>
  <c r="AG90" i="8" s="1"/>
  <c r="AH82" i="8"/>
  <c r="AH69" i="8"/>
  <c r="AH66" i="8"/>
  <c r="AF85" i="8"/>
  <c r="AF87" i="8" s="1"/>
  <c r="AH79" i="8"/>
  <c r="AF60" i="8"/>
  <c r="Q25" i="11"/>
  <c r="Q24" i="11"/>
  <c r="R19" i="11"/>
  <c r="V19" i="11"/>
  <c r="R22" i="11"/>
  <c r="V22" i="11"/>
  <c r="V14" i="11"/>
  <c r="R14" i="11"/>
  <c r="O35" i="11"/>
  <c r="L17" i="11"/>
  <c r="S17" i="11" s="1"/>
  <c r="L20" i="11"/>
  <c r="S20" i="11" s="1"/>
  <c r="L21" i="11"/>
  <c r="S21" i="11" s="1"/>
  <c r="L18" i="11"/>
  <c r="S18" i="11" s="1"/>
  <c r="L14" i="11"/>
  <c r="S14" i="11" s="1"/>
  <c r="L19" i="11"/>
  <c r="S19" i="11" s="1"/>
  <c r="L13" i="11"/>
  <c r="S13" i="11" s="1"/>
  <c r="L11" i="11"/>
  <c r="S11" i="11" s="1"/>
  <c r="L22" i="11"/>
  <c r="S22" i="11" s="1"/>
  <c r="V11" i="11"/>
  <c r="R11" i="11"/>
  <c r="R18" i="11"/>
  <c r="V18" i="11"/>
  <c r="U25" i="11"/>
  <c r="U24" i="11"/>
  <c r="R21" i="11"/>
  <c r="V21" i="11"/>
  <c r="R13" i="11"/>
  <c r="V13" i="11"/>
  <c r="R20" i="11"/>
  <c r="V20" i="11"/>
  <c r="R17" i="11"/>
  <c r="V17" i="11"/>
  <c r="M15" i="11" l="1"/>
  <c r="T15" i="11" s="1"/>
  <c r="M16" i="11"/>
  <c r="T16" i="11" s="1"/>
  <c r="AH85" i="8"/>
  <c r="AH67" i="8"/>
  <c r="AH70" i="8"/>
  <c r="AH83" i="8"/>
  <c r="AH64" i="8"/>
  <c r="AH80" i="8"/>
  <c r="AH72" i="8"/>
  <c r="AF76" i="8"/>
  <c r="AF88" i="8" s="1"/>
  <c r="V25" i="11"/>
  <c r="V24" i="11"/>
  <c r="R25" i="11"/>
  <c r="R24" i="11"/>
  <c r="S25" i="11"/>
  <c r="S24" i="11"/>
  <c r="L29" i="11"/>
  <c r="T29" i="11" s="1"/>
  <c r="X29" i="11" s="1"/>
  <c r="H30" i="11"/>
  <c r="M18" i="11"/>
  <c r="T18" i="11" s="1"/>
  <c r="M11" i="11"/>
  <c r="M13" i="11"/>
  <c r="T13" i="11" s="1"/>
  <c r="M22" i="11"/>
  <c r="T22" i="11" s="1"/>
  <c r="M14" i="11"/>
  <c r="T14" i="11" s="1"/>
  <c r="M17" i="11"/>
  <c r="T17" i="11" s="1"/>
  <c r="M19" i="11"/>
  <c r="T19" i="11" s="1"/>
  <c r="M20" i="11"/>
  <c r="T20" i="11" s="1"/>
  <c r="M21" i="11"/>
  <c r="T21" i="11" s="1"/>
  <c r="AH86" i="8" l="1"/>
  <c r="AH73" i="8"/>
  <c r="AF90" i="8"/>
  <c r="H31" i="11"/>
  <c r="L30" i="11"/>
  <c r="T30" i="11" s="1"/>
  <c r="X30" i="11" s="1"/>
  <c r="I29" i="11"/>
  <c r="T11" i="11"/>
  <c r="T25" i="11"/>
  <c r="T24" i="11"/>
  <c r="M29" i="11" l="1"/>
  <c r="U29" i="11" s="1"/>
  <c r="Y29" i="11" s="1"/>
  <c r="I30" i="11"/>
  <c r="L31" i="11"/>
  <c r="T31" i="11" s="1"/>
  <c r="X31" i="11" s="1"/>
  <c r="H32" i="11"/>
  <c r="L32" i="11" s="1"/>
  <c r="T32" i="11" s="1"/>
  <c r="X32" i="11" s="1"/>
  <c r="I31" i="11" l="1"/>
  <c r="M30" i="11"/>
  <c r="U30" i="11" s="1"/>
  <c r="Y30" i="11" s="1"/>
  <c r="M31" i="11" l="1"/>
  <c r="I32" i="11"/>
  <c r="M32" i="11" s="1"/>
  <c r="U32" i="11" s="1"/>
  <c r="Y32" i="11" s="1"/>
  <c r="U31" i="11" l="1"/>
  <c r="Y31" i="11" s="1"/>
  <c r="F20" i="6"/>
  <c r="G20" i="6"/>
  <c r="H20" i="6"/>
  <c r="F24" i="5"/>
  <c r="G24" i="5"/>
  <c r="U18" i="1" l="1"/>
  <c r="U17" i="1"/>
  <c r="S14" i="1"/>
  <c r="G26" i="1"/>
  <c r="AC7" i="8" s="1"/>
  <c r="H26" i="1"/>
  <c r="X7" i="8" s="1"/>
  <c r="I26" i="1"/>
  <c r="S7" i="8" s="1"/>
  <c r="J26" i="1"/>
  <c r="N53" i="1"/>
  <c r="N50" i="1"/>
  <c r="M61" i="1"/>
  <c r="F34" i="1"/>
  <c r="Q12" i="1"/>
  <c r="R14" i="1"/>
  <c r="U13" i="1"/>
  <c r="S12" i="1"/>
  <c r="W6" i="1"/>
  <c r="V6" i="1"/>
  <c r="U6" i="1"/>
  <c r="T6" i="1"/>
  <c r="S6" i="1"/>
  <c r="R6" i="1"/>
  <c r="Z5" i="1"/>
  <c r="Y5" i="1"/>
  <c r="X5" i="1"/>
  <c r="W5" i="1"/>
  <c r="V5" i="1"/>
  <c r="U5" i="1"/>
  <c r="T5" i="1"/>
  <c r="S5" i="1"/>
  <c r="R5" i="1"/>
  <c r="M75" i="1"/>
  <c r="G47" i="1"/>
  <c r="G50" i="1" s="1"/>
  <c r="J23" i="1"/>
  <c r="I23" i="1"/>
  <c r="S6" i="8" s="1"/>
  <c r="H23" i="1"/>
  <c r="X6" i="8" s="1"/>
  <c r="G23" i="1"/>
  <c r="AC6" i="8" s="1"/>
  <c r="J47" i="1"/>
  <c r="J50" i="1" s="1"/>
  <c r="I47" i="1"/>
  <c r="I50" i="1" s="1"/>
  <c r="H47" i="1"/>
  <c r="H50" i="1" s="1"/>
  <c r="S13" i="1" l="1"/>
  <c r="X11" i="8"/>
  <c r="Q13" i="1"/>
  <c r="AH11" i="8"/>
  <c r="R7" i="1"/>
  <c r="R13" i="1"/>
  <c r="F33" i="1"/>
  <c r="S7" i="1" s="1"/>
  <c r="T13" i="1"/>
  <c r="P6" i="1"/>
  <c r="Q6" i="1"/>
  <c r="Q5" i="1"/>
  <c r="AH13" i="8" l="1"/>
  <c r="AH14" i="8" s="1"/>
  <c r="AH12" i="8"/>
  <c r="AH48" i="8"/>
  <c r="AI48" i="8" s="1"/>
  <c r="AH54" i="8"/>
  <c r="AI54" i="8" s="1"/>
  <c r="AH45" i="8"/>
  <c r="AI45" i="8" s="1"/>
  <c r="AH34" i="8"/>
  <c r="P13" i="1"/>
  <c r="P12" i="1" s="1"/>
  <c r="AI11" i="8" s="1"/>
  <c r="AI12" i="8" s="1"/>
  <c r="J4" i="10" l="1"/>
  <c r="J5" i="10" s="1"/>
  <c r="AH25" i="8"/>
  <c r="AH42" i="8"/>
  <c r="AI42" i="8" s="1"/>
  <c r="AJ42" i="8" s="1"/>
  <c r="AH51" i="8"/>
  <c r="AI51" i="8" s="1"/>
  <c r="AJ51" i="8" s="1"/>
  <c r="AH35" i="8"/>
  <c r="AJ54" i="8"/>
  <c r="AJ48" i="8"/>
  <c r="AJ45" i="8"/>
  <c r="AJ11" i="8"/>
  <c r="AI13" i="8"/>
  <c r="AI43" i="8" s="1"/>
  <c r="AJ12" i="8" l="1"/>
  <c r="AJ13" i="8"/>
  <c r="AJ43" i="8" s="1"/>
  <c r="AJ46" i="8"/>
  <c r="AI46" i="8"/>
  <c r="AI52" i="8"/>
  <c r="AJ52" i="8"/>
  <c r="AH58" i="8"/>
  <c r="AH59" i="8" s="1"/>
  <c r="AH36" i="8"/>
  <c r="AH37" i="8"/>
  <c r="AJ49" i="8"/>
  <c r="J18" i="10"/>
  <c r="K4" i="10"/>
  <c r="AI32" i="8"/>
  <c r="AI23" i="8"/>
  <c r="AI35" i="8"/>
  <c r="AI49" i="8"/>
  <c r="AI40" i="8"/>
  <c r="AI14" i="8"/>
  <c r="AH60" i="8" l="1"/>
  <c r="AI37" i="8"/>
  <c r="AI36" i="8"/>
  <c r="L4" i="10"/>
  <c r="L18" i="10" s="1"/>
  <c r="AJ14" i="8"/>
  <c r="AJ23" i="8"/>
  <c r="AJ32" i="8"/>
  <c r="AJ35" i="8" s="1"/>
  <c r="AH93" i="8"/>
  <c r="AH68" i="8"/>
  <c r="AI68" i="8" s="1"/>
  <c r="AH71" i="8"/>
  <c r="AI71" i="8" s="1"/>
  <c r="AH84" i="8"/>
  <c r="AH65" i="8"/>
  <c r="AI65" i="8" s="1"/>
  <c r="AH81" i="8"/>
  <c r="AH87" i="8"/>
  <c r="AI87" i="8" s="1"/>
  <c r="AH76" i="8"/>
  <c r="AH74" i="8"/>
  <c r="AJ40" i="8"/>
  <c r="AI58" i="8"/>
  <c r="K18" i="10"/>
  <c r="K5" i="10"/>
  <c r="L5" i="10"/>
  <c r="AJ37" i="8" l="1"/>
  <c r="AJ36" i="8"/>
  <c r="AJ58" i="8"/>
  <c r="AJ71" i="8"/>
  <c r="AJ69" i="8" s="1"/>
  <c r="AI69" i="8"/>
  <c r="AH95" i="8"/>
  <c r="J7" i="10"/>
  <c r="J8" i="10" s="1"/>
  <c r="AJ65" i="8"/>
  <c r="AJ63" i="8" s="1"/>
  <c r="AI63" i="8"/>
  <c r="AJ68" i="8"/>
  <c r="AJ66" i="8" s="1"/>
  <c r="AI66" i="8"/>
  <c r="AI60" i="8"/>
  <c r="AI93" i="8"/>
  <c r="AI59" i="8"/>
  <c r="AJ87" i="8"/>
  <c r="AI85" i="8"/>
  <c r="AH78" i="8"/>
  <c r="AI78" i="8" s="1"/>
  <c r="AJ78" i="8" s="1"/>
  <c r="AH88" i="8"/>
  <c r="AH77" i="8"/>
  <c r="AJ85" i="8" l="1"/>
  <c r="J9" i="10"/>
  <c r="AJ72" i="8"/>
  <c r="AJ76" i="8" s="1"/>
  <c r="J19" i="10"/>
  <c r="AH90" i="8"/>
  <c r="AH98" i="8"/>
  <c r="AH99" i="8"/>
  <c r="J11" i="10" s="1"/>
  <c r="AI72" i="8"/>
  <c r="AI76" i="8" s="1"/>
  <c r="AI88" i="8" s="1"/>
  <c r="AJ88" i="8"/>
  <c r="AJ59" i="8"/>
  <c r="AJ93" i="8"/>
  <c r="AJ60" i="8"/>
  <c r="AI95" i="8"/>
  <c r="K7" i="10"/>
  <c r="AI98" i="8" l="1"/>
  <c r="AI99" i="8"/>
  <c r="K11" i="10" s="1"/>
  <c r="AI90" i="8"/>
  <c r="AJ95" i="8"/>
  <c r="L7" i="10"/>
  <c r="AJ90" i="8"/>
  <c r="AJ98" i="8"/>
  <c r="L11" i="10"/>
  <c r="J20" i="10"/>
  <c r="J15" i="10"/>
  <c r="J12" i="10"/>
  <c r="K19" i="10"/>
  <c r="K8" i="10"/>
  <c r="K9" i="10"/>
  <c r="C27" i="10" l="1"/>
  <c r="C29" i="10" s="1"/>
  <c r="C30" i="10" s="1"/>
  <c r="I29" i="10"/>
  <c r="J29" i="10" s="1"/>
  <c r="L12" i="10"/>
  <c r="C19" i="10"/>
  <c r="C21" i="10" s="1"/>
  <c r="L15" i="10"/>
  <c r="L20" i="10"/>
  <c r="L9" i="10"/>
  <c r="L8" i="10"/>
  <c r="L19" i="10"/>
  <c r="K20" i="10"/>
  <c r="K12" i="10"/>
  <c r="K15" i="10"/>
  <c r="C22" i="10" l="1"/>
  <c r="C24" i="10"/>
  <c r="C23" i="10"/>
  <c r="B7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kencu</author>
  </authors>
  <commentList>
    <comment ref="A1" authorId="0" shapeId="0" xr:uid="{200CEC2D-5A96-4A4A-BF7E-ACD88817F181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Timestamp="1722575774"&gt;&lt;FQL&gt;&lt;Q&gt;PAMP-AR^FE_VALUATION(PE,MEAN,ANN,+2,NOW,,,'')&lt;/Q&gt;&lt;R&gt;1&lt;/R&gt;&lt;C&gt;1&lt;/C&gt;&lt;D xsi:type="xsd:double"&gt;6.4064093&lt;/D&gt;&lt;/FQL&gt;&lt;FQL&gt;&lt;Q&gt;PAMP-AR^FE_VALUATION(PE,MEAN,ANN,+1,NOW,,,'')&lt;/Q&gt;&lt;R&gt;1&lt;/R&gt;&lt;C&gt;1&lt;/C&gt;&lt;D xsi:type="xsd:double"&gt;4.8769274&lt;/D&gt;&lt;/FQL&gt;&lt;FQL&gt;&lt;Q&gt;PAMP-AR^FE_VALUATION(FFEV_EBITDA,MEAN,ANN,+2,NOW,,,'')&lt;/Q&gt;&lt;R&gt;1&lt;/R&gt;&lt;C&gt;1&lt;/C&gt;&lt;D xsi:type="xsd:double"&gt;3.700376&lt;/D&gt;&lt;/FQL&gt;&lt;FQL&gt;&lt;Q&gt;PAMP-AR^FE_VALUATION(FFEV_EBITDA,MEAN,ANN,+1,NOW,,,'')&lt;/Q&gt;&lt;R&gt;1&lt;/R&gt;&lt;C&gt;1&lt;/C&gt;&lt;D xsi:type="xsd:double"&gt;4.60161&lt;/D&gt;&lt;/FQL&gt;&lt;FQL&gt;&lt;Q&gt;PAMP-AR^FE_VALUATION(FFEV_SALES,MEAN,ANN,+2,NOW,,,'')&lt;/Q&gt;&lt;R&gt;1&lt;/R&gt;&lt;C&gt;1&lt;/C&gt;&lt;D xsi:type="xsd:double"&gt;1.7420076&lt;/D&gt;&lt;/FQL&gt;&lt;FQL&gt;&lt;Q&gt;PAMP-AR^FE_VALUATION(FFEV_SALES,MEAN,ANN,+1,NOW,,,'')&lt;/Q&gt;&lt;R&gt;1&lt;/R&gt;&lt;C&gt;1&lt;/C&gt;&lt;D xsi:type="xsd:double"&gt;2.1213887&lt;/D&gt;&lt;/FQL&gt;&lt;FQL&gt;&lt;Q&gt;ECOPETROL-CO^FE_VALUATION(PE,MEAN,ANN,+2,NOW,,,'')&lt;/Q&gt;&lt;R&gt;1&lt;/R&gt;&lt;C&gt;1&lt;/C&gt;&lt;D xsi:type="xsd:double"&gt;5.3464336&lt;/D&gt;&lt;/FQL&gt;&lt;FQL&gt;&lt;Q&gt;ECOPETROL-CO^FE_VALUATION(PE,MEAN,ANN,+1,NOW,,,'')&lt;/Q&gt;&lt;R&gt;1&lt;/R&gt;&lt;C&gt;1&lt;/C&gt;&lt;D xsi:type="xsd:double"&gt;5.176937&lt;/D&gt;&lt;/FQL&gt;&lt;FQL&gt;&lt;Q&gt;ECOPETROL-CO^FE_VALUATION(FFEV_EBITDA,MEAN,ANN,+2,NOW,,,'')&lt;/Q&gt;&lt;R&gt;1&lt;/R&gt;&lt;C&gt;1&lt;/C&gt;&lt;D xsi:type="xsd:double"&gt;3.5563812&lt;/D&gt;&lt;/FQL&gt;&lt;FQL&gt;&lt;Q&gt;ECOPETROL-CO^FE_VALUATION(FFEV_EBITDA,MEAN,ANN,+1,NOW,,,'')&lt;/Q&gt;&lt;R&gt;1&lt;/R&gt;&lt;C&gt;1&lt;/C&gt;&lt;D xsi:type="xsd:double"&gt;3.4523227&lt;/D&gt;&lt;/FQL&gt;&lt;FQL&gt;&lt;Q&gt;ECOPETROL-CO^FE_VALUATION(FFEV_SALES,MEAN,ANN,+2,NOW,,,'')&lt;/Q&gt;&lt;R&gt;1&lt;/R&gt;&lt;C&gt;1&lt;/C&gt;&lt;D xsi:type="xsd:double"&gt;1.4820309&lt;/D&gt;&lt;/FQL&gt;&lt;FQL&gt;&lt;Q&gt;ECOPETROL-CO^FE_VALUATION(FFEV_SALES,MEAN,ANN,+1,NOW,,,'')&lt;/Q&gt;&lt;R&gt;1&lt;/R&gt;&lt;C&gt;1&lt;/C&gt;&lt;D xsi:type="xsd:double"&gt;1.4662002&lt;/D&gt;&lt;/FQL&gt;&lt;FQL&gt;&lt;Q&gt;PETR4-BR^FE_VALUATION(PE,MEAN,ANN,+2,NOW,,,'')&lt;/Q&gt;&lt;R&gt;1&lt;/R&gt;&lt;C&gt;1&lt;/C&gt;&lt;D xsi:type="xsd:double"&gt;3.9579751&lt;/D&gt;&lt;/FQL&gt;&lt;FQL&gt;&lt;Q&gt;PETR4-BR^FE_VALUATION(PE,MEAN,ANN,+1,NOW,,,'')&lt;/Q&gt;&lt;R&gt;1&lt;/R&gt;&lt;C&gt;1&lt;/C&gt;&lt;D xsi:type="xsd:double"&gt;4.010499&lt;/D&gt;&lt;/FQL&gt;&lt;FQL&gt;&lt;Q&gt;PETR4-BR^FE_VALUATION(FFEV_EBITDA,MEAN,ANN,+2,NOW,,,'')&lt;/Q&gt;&lt;R&gt;1&lt;/R&gt;&lt;C&gt;1&lt;/C&gt;&lt;D xsi:type="xsd:double"&gt;2.6248813&lt;/D&gt;&lt;/FQL&gt;&lt;FQL&gt;&lt;Q&gt;PETR4-BR^FE_VALUATION(FFEV_EBITDA,MEAN,ANN,+1,NOW,,,'')&lt;/Q&gt;&lt;R&gt;1&lt;/R&gt;&lt;C&gt;1&lt;/C&gt;&lt;D xsi:type="xsd:double"&gt;2.5735593&lt;/D&gt;&lt;/FQL&gt;&lt;FQL&gt;&lt;Q&gt;PETR4-BR^FE_VALUATION(FFEV_SALES,MEAN,ANN,+2,NOW,,,'')&lt;/Q&gt;&lt;R&gt;1&lt;/R&gt;&lt;C&gt;1&lt;/C&gt;&lt;D xsi:type="xsd:double"&gt;1.3832792&lt;/D&gt;&lt;/FQL&gt;&lt;FQL&gt;&lt;Q&gt;PETR4-BR^FE_VALUATION(FFEV_SALES,MEAN,ANN,+1,NOW,,,'')&lt;/Q&gt;&lt;R&gt;1&lt;/R&gt;&lt;C&gt;1&lt;/C&gt;&lt;D xsi:type="xsd:double"&gt;1.3526425&lt;/D&gt;&lt;/FQL&gt;&lt;FQL&gt;&lt;Q&gt;YPFD-AR^FE_VALUATION(PE,MEAN,ANN,+2,NOW,,,'')&lt;/Q&gt;&lt;R&gt;1&lt;/R&gt;&lt;C&gt;1&lt;/C&gt;&lt;D xsi:type="xsd:double"&gt;6.045691&lt;/D&gt;&lt;/FQL&gt;&lt;FQL&gt;&lt;Q&gt;YPFD-AR^FE_VALUATION(PE,MEAN,ANN,+1,NOW,,,'')&lt;/Q&gt;&lt;R&gt;1&lt;/R&gt;&lt;C&gt;1&lt;/C&gt;&lt;D xsi:type="xsd:double"&gt;6.2385845&lt;/D&gt;&lt;/FQL&gt;&lt;FQL&gt;&lt;Q&gt;YPFD-AR^FE_VALUATION(FFEV_EBITDA,MEAN,ANN,+2,NOW,,,'')&lt;/Q&gt;&lt;R&gt;1&lt;/R&gt;&lt;C&gt;1&lt;/C&gt;&lt;D xsi:type="xsd:double"&gt;3.0590992&lt;/D&gt;&lt;/FQL&gt;&lt;FQL&gt;&lt;Q&gt;YPFD-AR^FE_VALUATION(FFEV_EBITDA,MEAN,ANN,+1,NOW,,,'')&lt;/Q&gt;&lt;R&gt;1&lt;/R&gt;&lt;C&gt;1&lt;/C&gt;&lt;D xsi:type="xsd:double"&gt;3.40599&lt;/D&gt;&lt;/FQL&gt;&lt;FQL&gt;&lt;Q&gt;YPFD-AR^FE_VALUATION(FFEV_SALES,MEAN,ANN,+2,NOW,,,'')&lt;/Q&gt;&lt;R&gt;1&lt;/R&gt;&lt;C&gt;1&lt;/C&gt;&lt;D xsi:type="xsd:double"&gt;1.0136117&lt;/D&gt;&lt;/FQL&gt;&lt;FQL&gt;&lt;Q&gt;YPFD-AR^FE_VALUATION(FFEV_SALES,MEAN,ANN,+1,NOW,,,'')&lt;/Q&gt;&lt;R&gt;1&lt;/R&gt;&lt;C&gt;1&lt;/C&gt;&lt;D xsi:type="xsd:double"&gt;1.0323416&lt;/D&gt;&lt;/FQL&gt;&lt;FQL&gt;&lt;Q&gt;GPRK-US^FE_VALUATION(PE,MEAN,ANN,+2,NOW,,,'')&lt;/Q&gt;&lt;R&gt;1&lt;/R&gt;&lt;C&gt;1&lt;/C&gt;&lt;D xsi:type="xsd:double"&gt;2.9346583&lt;/D&gt;&lt;/FQL&gt;&lt;FQL&gt;&lt;Q&gt;GPRK-US^FE_VALUATION(PE,MEAN,ANN,+1,NOW,,,'')&lt;/Q&gt;&lt;R&gt;1&lt;/R&gt;&lt;C&gt;1&lt;/C&gt;&lt;D xsi:type="xsd:double"&gt;3.040426&lt;/D&gt;&lt;/FQL&gt;&lt;FQL&gt;&lt;Q&gt;GPRK-US^FE_VALUATION(FFEV_EBITDA,MEAN,ANN,+2,NOW,,,'')&lt;/Q&gt;&lt;R&gt;1&lt;/R&gt;&lt;C&gt;1&lt;/C&gt;&lt;D xsi:type="xsd:double"&gt;1.7578541&lt;/D&gt;&lt;/FQL&gt;&lt;FQL&gt;&lt;Q&gt;GPRK-US^FE_VALUATION(FFEV_EBITDA,MEAN,ANN,+1,NOW,,,'')&lt;/Q&gt;&lt;R&gt;1&lt;/R&gt;&lt;C&gt;1&lt;/C&gt;&lt;D xsi:type="xsd:double"&gt;1.8665951&lt;/D&gt;&lt;/FQL&gt;&lt;FQL&gt;&lt;Q&gt;GPRK-US^FE_VALUATION(FFEV_SALES,MEAN,ANN,+2,NOW,,,'')&lt;/Q&gt;&lt;R&gt;1&lt;/R&gt;&lt;C&gt;1&lt;/C&gt;&lt;D xsi:type="xsd:double"&gt;1.0255797&lt;/D&gt;&lt;/FQL&gt;&lt;FQL&gt;&lt;Q&gt;GPRK-US^FE_VALUATION(FFEV_SALES,MEAN,ANN,+1,NOW,,,'')&lt;/Q&gt;&lt;R&gt;1&lt;/R&gt;&lt;C&gt;1&lt;/C&gt;&lt;D xsi:type="xsd:double"&gt;1.1866474&lt;/D&gt;&lt;/FQL&gt;&lt;FQL&gt;&lt;Q&gt;RECV3-BR^FE_VALUATION(PE,MEAN,ANN,+2,NOW,,,'')&lt;/Q&gt;&lt;R&gt;1&lt;/R&gt;&lt;C&gt;1&lt;/C&gt;&lt;D xsi:type="xsd:double"&gt;3.9630952&lt;/D&gt;&lt;/FQL&gt;&lt;FQL&gt;&lt;Q&gt;RECV3-BR^FE_VALUATION(PE,MEAN,ANN,+1,NOW,,,'')&lt;/Q&gt;&lt;R&gt;1&lt;/R&gt;&lt;C&gt;1&lt;/C&gt;&lt;D xsi:type="xsd:double"&gt;5.5006313&lt;/D&gt;&lt;/FQL&gt;&lt;FQL&gt;&lt;Q&gt;RECV3-BR^FE_VALUATION(FFEV_EBITDA,MEAN,ANN,+2,NOW,,,'')&lt;/Q&gt;&lt;R&gt;1&lt;/R&gt;&lt;C&gt;1&lt;/C&gt;&lt;D xsi:type="xsd:double"&gt;2.429562&lt;/D&gt;&lt;/FQL&gt;&lt;FQL&gt;&lt;Q&gt;RECV3-BR^FE_VALUATION(FFEV_EBITDA,MEAN,ANN,+1,NOW,,,'')&lt;/Q&gt;&lt;R&gt;1&lt;/R&gt;&lt;C&gt;1&lt;/C&gt;&lt;D xsi:type="xsd:double"&gt;3.0157812&lt;/D&gt;&lt;/FQL&gt;&lt;FQL&gt;&lt;Q&gt;RECV3-BR^FE_VALUATION(FFEV_SALES,MEAN,ANN,+2,NOW,,,'')&lt;/Q&gt;&lt;R&gt;1&lt;/R&gt;&lt;C&gt;1&lt;/C&gt;&lt;D xsi:type="xsd:double"&gt;1.455613&lt;/D&gt;&lt;/FQL&gt;&lt;FQL&gt;&lt;Q&gt;RECV3-BR^FE_VALUATION(FFEV_SALES,MEAN,ANN,+1,NOW,,,'')&lt;/Q&gt;&lt;R&gt;1&lt;/R&gt;&lt;C&gt;1&lt;/C&gt;&lt;D xsi:type="xsd:double"&gt;1.7156893&lt;/D&gt;&lt;/FQL&gt;&lt;FQL&gt;&lt;Q&gt;PRIO3-BR^FE_VALUATION(PE,MEAN,ANN,+2,NOW,,,'')&lt;/Q&gt;&lt;R&gt;1&lt;/R&gt;&lt;C&gt;1&lt;/C&gt;&lt;D xsi:type="xsd:double"&gt;4.8199916&lt;/D&gt;&lt;/FQL&gt;&lt;FQL&gt;&lt;Q&gt;PRIO3-BR^FE_VALUATION(PE,MEAN,ANN,+1,NOW,,,'')&lt;/Q&gt;&lt;R&gt;1&lt;/R&gt;&lt;C&gt;1&lt;/C&gt;&lt;D xsi:type="xsd:double"&gt;6.7155066&lt;/D&gt;&lt;/FQL&gt;&lt;FQL&gt;&lt;Q&gt;PRIO3-BR^FE_VALUATION(FFEV_EBITDA,MEAN,ANN,+2,NOW,,,'')&lt;/Q&gt;&lt;R&gt;1&lt;/R&gt;&lt;C&gt;1&lt;/C&gt;&lt;D xsi:type="xsd:double"&gt;3.225073&lt;/D&gt;&lt;/FQL&gt;&lt;FQL&gt;&lt;Q&gt;PRIO3-BR^FE_VALUATION(FFEV_EBITDA,MEAN,ANN,+1,NOW,,,'')&lt;/Q&gt;&lt;R&gt;1&lt;/R&gt;&lt;C&gt;1&lt;/C&gt;&lt;D xsi:type="xsd:double"&gt;4.1824613&lt;/D&gt;&lt;/FQL&gt;&lt;FQL&gt;&lt;Q&gt;PRIO3-BR^FE_VALUATION(FFEV_SALES,MEAN,ANN,+2,NOW,,,'')&lt;/Q&gt;&lt;R&gt;1&lt;/R&gt;&lt;C&gt;1&lt;/C&gt;&lt;D xsi:type="xsd:double"&gt;2.5121331&lt;/D&gt;&lt;/FQL&gt;&lt;FQL&gt;&lt;Q&gt;PRIO3-BR^FE_VALUATION(FFEV_SALES,MEAN,ANN,+1,NOW,,,'')&lt;/Q&gt;&lt;R&gt;1&lt;/R&gt;&lt;C&gt;1&lt;/C&gt;&lt;D xsi:type="xsd:double"&gt;3.1872733&lt;/D&gt;&lt;/FQL&gt;&lt;FQL&gt;&lt;Q&gt;HES-US^FE_VALUATION(PE,MEAN,ANN,+2,NOW,,,'')&lt;/Q&gt;&lt;R&gt;1&lt;/R&gt;&lt;C&gt;1&lt;/C&gt;&lt;D xsi:type="xsd:double"&gt;12.157351&lt;/D&gt;&lt;/FQL&gt;&lt;FQL&gt;&lt;Q&gt;HES-US^FE_VALUATION(PE,MEAN,ANN,+1,NOW,,,'')&lt;/Q&gt;&lt;R&gt;1&lt;/R&gt;&lt;C&gt;1&lt;/C&gt;&lt;D xsi:type="xsd:double"&gt;13.120293&lt;/D&gt;&lt;/FQL&gt;&lt;FQL&gt;&lt;Q&gt;HES-US^FE_VALUATION(FFEV_EBITDA,MEAN,ANN,+2,NOW,,,'')&lt;/Q&gt;&lt;R&gt;1&lt;/R&gt;&lt;C&gt;1&lt;/C&gt;&lt;D xsi:type="xsd:double"&gt;6.499011&lt;/D&gt;&lt;/FQL&gt;&lt;FQL&gt;&lt;Q&gt;HES-US^FE_VALUATION(FFEV_EBITDA,MEAN,ANN,+1,NOW,,,'')&lt;/Q&gt;&lt;R&gt;1&lt;/R&gt;&lt;C&gt;1&lt;/C&gt;&lt;D xsi:type="xsd:double"&gt;6.885741&lt;/D&gt;&lt;/FQL&gt;&lt;FQL&gt;&lt;Q&gt;HES-US^FE_VALUATION(FFEV_SALES,MEAN,ANN,+2,NOW,,,'')&lt;/Q&gt;&lt;R&gt;1&lt;/R&gt;&lt;C&gt;1&lt;/C&gt;&lt;D xsi:type="xsd:double"&gt;3.7863228&lt;/D&gt;&lt;/FQL&gt;&lt;FQL&gt;&lt;Q&gt;HES-US^FE_VALUATION(FFEV_SALES,MEAN,ANN,+1,NOW,,,'')&lt;/Q&gt;&lt;R&gt;1&lt;/R&gt;&lt;C&gt;1&lt;/C&gt;&lt;D xsi:type="xsd:double"&gt;3.9478755&lt;/D&gt;&lt;/FQL&gt;&lt;FQL&gt;&lt;Q&gt;EOG-US^FE_VALUATION(PE,MEAN,ANN,+2,NOW,,,'')&lt;/Q&gt;&lt;R&gt;1&lt;/R&gt;&lt;C&gt;1&lt;/C&gt;&lt;D xsi:type="xsd:double"&gt;10.297328&lt;/D&gt;&lt;/FQL&gt;&lt;FQL&gt;&lt;Q&gt;EOG-US^FE_VALUATION(PE,MEAN,ANN,+1,NOW,,,'')&lt;/Q&gt;&lt;R&gt;1&lt;/R&gt;&lt;C&gt;1&lt;/C&gt;&lt;D xsi:type="xsd:double"&gt;10.526679&lt;/D&gt;&lt;/FQL&gt;&lt;FQL&gt;&lt;Q&gt;EOG-US^FE_VALUATION(FFEV_EBITDA,MEAN,ANN,+2,NOW,,,'')&lt;/Q&gt;&lt;R&gt;1&lt;/R&gt;&lt;C&gt;1&lt;/C&gt;&lt;D xsi:type="xsd:double"&gt;5.2076397&lt;/D&gt;&lt;/FQL&gt;&lt;FQL&gt;&lt;Q&gt;EOG-US^FE_VALUATION(FFEV_EBITDA,MEAN,ANN,+1,NOW,,,'')&lt;/Q&gt;&lt;R&gt;1&lt;/R&gt;&lt;C&gt;1&lt;/C&gt;&lt;D xsi:type="xsd:double"&gt;5.2861104&lt;/D&gt;&lt;/FQL&gt;&lt;FQL&gt;&lt;Q&gt;EOG-US^FE_VALUATION(FFEV_SALES,MEAN,ANN,+2,NOW,,,'')&lt;/Q&gt;&lt;R&gt;1&lt;/R&gt;&lt;C&gt;1&lt;/C&gt;&lt;D xsi:type="xsd:double"&gt;2.7722433&lt;/D&gt;&lt;/FQL&gt;&lt;FQL&gt;&lt;Q&gt;EOG-US^FE_VALUATION(FFEV_SALES,MEAN,ANN,+1,NOW,,,'')&lt;/Q&gt;&lt;R&gt;1&lt;/R&gt;&lt;C&gt;1&lt;/C&gt;&lt;D xsi:type="xsd:double"&gt;2.8622017&lt;/D&gt;&lt;/FQL&gt;&lt;FQL&gt;&lt;Q&gt;FANG-US^FE_VALUATION(PE,MEAN,ANN,+2,NOW,,,'')&lt;/Q&gt;&lt;R&gt;1&lt;/R&gt;&lt;C&gt;1&lt;/C&gt;&lt;D xsi:type="xsd:double"&gt;9.675171&lt;/D&gt;&lt;/FQL&gt;&lt;FQL&gt;&lt;Q&gt;FANG-US^FE_VALUATION(PE,MEAN,ANN,+1,NOW,,,'')&lt;/Q&gt;&lt;R&gt;1&lt;/R&gt;&lt;C&gt;1&lt;/C&gt;&lt;D xsi:type="xsd:double"&gt;10.549903&lt;/D&gt;&lt;/FQL&gt;&lt;FQL&gt;&lt;Q&gt;FANG-US^FE_VALUATION(FFEV_EBITDA,MEAN,ANN,+2,NOW,,,'')&lt;/Q&gt;&lt;R&gt;1&lt;/R&gt;&lt;C&gt;1&lt;/C&gt;&lt;D xsi:type="xsd:double"&gt;3.7203505&lt;/D&gt;&lt;/FQL&gt;&lt;FQL&gt;&lt;Q&gt;FANG-US^FE_VALUATION(FFEV_EBITDA,MEAN,ANN,+1,NOW,,,'')&lt;/Q&gt;&lt;R&gt;1&lt;/R&gt;&lt;C&gt;1&lt;/C&gt;&lt;D xsi:type="xsd:double"&gt;6.132761&lt;/D&gt;&lt;/FQL&gt;&lt;FQL&gt;&lt;Q&gt;FANG-US^FE_VALUATION(FFEV_SALES,MEAN,ANN,+2,NOW,,,'')&lt;/Q&gt;&lt;R&gt;1&lt;/R&gt;&lt;C&gt;1&lt;/C&gt;&lt;D xsi:type="xsd:double"&gt;2.851085&lt;/D&gt;&lt;/FQL&gt;&lt;FQL&gt;&lt;Q&gt;FANG-US^FE_VALUATION(FFEV_SALES,MEAN,ANN,+1,NOW,,,'')&lt;/Q&gt;&lt;R&gt;1&lt;/R&gt;&lt;C&gt;1&lt;/C&gt;&lt;D xsi:type="xsd:double"&gt;4.52862&lt;/D&gt;&lt;/FQL&gt;&lt;FQL&gt;&lt;Q&gt;VIST-US^FE_VALUATION(PE,MEAN,ANN,+2,NOW,,,'')&lt;/Q&gt;&lt;R&gt;1&lt;/R&gt;&lt;C&gt;1&lt;/C&gt;&lt;D xsi:type="xsd:double"&gt;5.9780717&lt;/D&gt;&lt;/FQL&gt;&lt;FQL&gt;&lt;Q&gt;VIST-US^FE_VALUATION(PE,MEAN,ANN,+1,NOW,,,'')&lt;/Q&gt;&lt;R&gt;1&lt;/R&gt;&lt;C&gt;1&lt;/C&gt;&lt;D xsi:type="xsd:double"&gt;7.9252524&lt;/D&gt;&lt;/FQL&gt;&lt;FQL&gt;&lt;Q&gt;VIST-US^FE_VALUATION(FFEV_EBITDA,MEAN,ANN,+2,NOW,,,'')&lt;/Q&gt;&lt;R&gt;1&lt;/R&gt;&lt;C&gt;1&lt;/C&gt;&lt;D xsi:type="xsd:double"&gt;3.098985&lt;/D&gt;&lt;/FQL&gt;&lt;FQL&gt;&lt;Q&gt;VIST-US^FE_VALUATION(FFEV_EBITDA,MEAN,ANN,+1,NOW,,,'')&lt;/Q&gt;&lt;R&gt;1&lt;/R&gt;&lt;C&gt;1&lt;/C&gt;&lt;D xsi:type="xsd:double"&gt;4.097306&lt;/D&gt;&lt;/FQL&gt;&lt;FQL&gt;&lt;Q&gt;VIST-US^FE_VALUATION(FFEV_SALES,MEAN,ANN,+2,NOW,,,'')&lt;/Q&gt;&lt;R&gt;1&lt;/R&gt;&lt;C&gt;1&lt;/C&gt;&lt;D xsi:type="xsd:double"&gt;2.2471087&lt;/D&gt;&lt;/FQL&gt;&lt;FQL&gt;&lt;Q&gt;VIST-US^FE_VALUATION(FFEV_SALES,MEAN,ANN,+1,NOW,,,'')&lt;/Q&gt;&lt;R&gt;1&lt;/R&gt;&lt;C&gt;1&lt;/C&gt;&lt;D xsi:type="xsd:double"&gt;2.9430027&lt;/D&gt;&lt;/FQL&gt;&lt;FQL&gt;&lt;Q&gt;VIST-US^FREF_SHARES_COMPANY(0,,,,0,"LEGACY")&lt;/Q&gt;&lt;R&gt;1&lt;/R&gt;&lt;C&gt;1&lt;/C&gt;&lt;D xsi:type="xsd:double"&gt;95.1644001933594&lt;/D&gt;&lt;/FQL&gt;&lt;FQL&gt;&lt;Q&gt;VIST-US^FF_DEBT(QTR_R,0)&lt;/Q&gt;&lt;R&gt;1&lt;/R&gt;&lt;C&gt;1&lt;/C&gt;&lt;D xsi:type="xsd:double"&gt;959.636&lt;/D&gt;&lt;/FQL&gt;&lt;FQL&gt;&lt;Q&gt;VIST-US^FF_CASH_ST(QTR_R,0)&lt;/Q&gt;&lt;R&gt;1&lt;/R&gt;&lt;C&gt;1&lt;/C&gt;&lt;D xsi:type="xsd:double"&gt;328.241&lt;/D&gt;&lt;/FQL&gt;&lt;FQL&gt;&lt;Q&gt;PAMP-AR^FF_NET_INC(ANN_R,0Y,,,,USD)&lt;/Q&gt;&lt;R&gt;1&lt;/R&gt;&lt;C&gt;1&lt;/C&gt;&lt;D xsi:type="xsd:double"&gt;117.135132137686&lt;/D&gt;&lt;/FQL&gt;&lt;FQL&gt;&lt;Q&gt;PAMP-AR^FF_NET_INC(ANN_R,-1AY,,,,USD)&lt;/Q&gt;&lt;R&gt;1&lt;/R&gt;&lt;C&gt;1&lt;/C&gt;&lt;D xsi:type="xsd:double"&gt;496.000528450124&lt;/D&gt;&lt;/FQL&gt;&lt;FQL&gt;&lt;Q&gt;PAMP-AR^FF_EBITDA_OPER(ANN_R,0Y,,,,USD)&lt;/Q&gt;&lt;R&gt;1&lt;/R&gt;&lt;C&gt;1&lt;/C&gt;&lt;D xsi:type="xsd:double"&gt;1041.371&lt;/D&gt;&lt;/FQL&gt;&lt;FQL&gt;&lt;Q&gt;PAMP-AR^FF_EBITDA_OPER(ANN_R,-1AY,,,,USD)&lt;/Q&gt;&lt;R&gt;1&lt;/R&gt;&lt;C&gt;1&lt;/C&gt;&lt;D xsi:type="xsd:double"&gt;766.44963&lt;/D&gt;&lt;/FQL&gt;&lt;FQL&gt;&lt;Q&gt;PAMP-AR^FF_SALES(ANN_R,0Y,,,,USD)&lt;/Q&gt;&lt;R&gt;1&lt;/R&gt;&lt;C&gt;1&lt;/C&gt;&lt;D xsi:type="xsd:double"&gt;1744.82370759966&lt;/D&gt;&lt;/FQL&gt;&lt;FQL&gt;&lt;Q&gt;PAMP-AR^FF_SALES(ANN_R,-1AY,,,,USD)&lt;/Q&gt;&lt;R&gt;1&lt;/R&gt;&lt;C&gt;1&lt;/C&gt;&lt;D xsi:type="xsd:double"&gt;1852.05445629917&lt;/D&gt;&lt;/FQL&gt;&lt;FQL&gt;&lt;Q&gt;PAMP-AR^FF_SALES(ANN_R,-2AY,,,,USD)&lt;/Q&gt;&lt;R&gt;1&lt;/R&gt;&lt;C&gt;1&lt;/C&gt;&lt;D xsi:type="xsd:double"&gt;1519.13150353916&lt;/D&gt;&lt;/FQL&gt;&lt;FQL&gt;&lt;Q&gt;ECOPETROL-CO^FF_NET_INC(ANN_R,0Y,,,,USD)&lt;/Q&gt;&lt;R&gt;1&lt;/R&gt;&lt;C&gt;1&lt;/C&gt;&lt;D xsi:type="xsd:double"&gt;4407.21784600883&lt;/D&gt;&lt;/FQL&gt;&lt;FQL&gt;&lt;Q&gt;ECOPETROL-CO^FF_NET_INC(ANN_R,-1AY,,,,USD)&lt;/Q&gt;&lt;R&gt;1&lt;/R&gt;&lt;C&gt;1&lt;/C&gt;&lt;D xsi:type="xsd:double"&gt;7841.42185063795&lt;/D&gt;&lt;/FQL&gt;&lt;FQL&gt;&lt;Q&gt;ECOPETROL-CO^FF_EBITDA_OPER(ANN_R,0Y,,,,USD)&lt;/Q&gt;&lt;R&gt;1&lt;/R&gt;&lt;C&gt;1&lt;/C&gt;&lt;D xsi:type="xsd:double"&gt;8611.63967&lt;/D&gt;&lt;/FQL&gt;&lt;FQL&gt;&lt;Q&gt;ECOPETROL-CO^FF_EBITDA_OPER(ANN_R,-1AY,,,,USD)&lt;/Q&gt;&lt;R&gt;1&lt;/R&gt;&lt;C&gt;1&lt;/C&gt;&lt;D xsi:type="xsd:double"&gt;8832.83479&lt;/D&gt;&lt;/FQL&gt;&lt;FQL&gt;&lt;Q&gt;ECOPETROL-CO^FF_SALES(ANN_R,0Y,,,,USD)&lt;/Q&gt;&lt;R&gt;1&lt;/R&gt;&lt;C&gt;1&lt;/C&gt;&lt;D xsi:type="xsd:double"&gt;28466.4756003966&lt;/D&gt;&lt;/FQL&gt;&lt;FQL&gt;&lt;Q&gt;ECOPETROL-CO^FF_SALES(ANN_R,-1AY,,,,USD)&lt;/Q&gt;&lt;R&gt;1&lt;/R&gt;&lt;C&gt;1&lt;/C&gt;&lt;D xsi:type="xsd:double"&gt;29260.5018042626&lt;/D&gt;&lt;/FQL&gt;&lt;FQL&gt;&lt;Q&gt;ECOPETROL-CO^FF_SALES(ANN_R,-2AY,,,,USD)&lt;/Q&gt;&lt;R&gt;1&lt;/R&gt;&lt;C&gt;1&lt;/C&gt;&lt;D xsi:type="xsd:double"&gt;21579.9411376581&lt;/D&gt;&lt;/FQL&gt;&lt;FQL&gt;&lt;Q&gt;PETR4-BR^FF_NET_INC(ANN_R,0Y,,,,USD)&lt;/Q&gt;&lt;R&gt;1&lt;/R&gt;&lt;C&gt;1&lt;/C&gt;&lt;D xsi:type="xsd:double"&gt;24946.7440125346&lt;/D&gt;&lt;/FQL&gt;&lt;FQL&gt;&lt;Q&gt;PETR4-BR^FF_NET_INC(ANN_R,-1AY,,,,USD)&lt;/Q&gt;&lt;R&gt;1&lt;/R&gt;&lt;C&gt;1&lt;/C&gt;&lt;D xsi:type="xsd:double"&gt;36465.7644799948&lt;/D&gt;&lt;/FQL&gt;&lt;FQL&gt;&lt;Q&gt;PETR4-BR^FF_EBITDA_OPER(ANN_R,0Y,,,,USD)&lt;/Q&gt;&lt;R&gt;1&lt;/R&gt;&lt;C&gt;1&lt;/C&gt;&lt;D xsi:type="xsd:double"&gt;52730.79325&lt;/D&gt;&lt;/FQL&gt;&lt;FQL&gt;&lt;Q&gt;PETR4-BR^FF_EBITDA_OPER(ANN_R,-1AY,,,,USD)&lt;/Q&gt;&lt;R&gt;1&lt;/R&gt;&lt;C&gt;1&lt;/C&gt;&lt;D xsi:type="xsd:double"&gt;65612.73959&lt;/D&gt;&lt;/FQL&gt;&lt;FQL&gt;&lt;Q&gt;PETR4-BR^FF_SALES(ANN_R,0Y,,,,USD)&lt;/Q&gt;&lt;R&gt;1&lt;/R&gt;&lt;C&gt;1&lt;/C&gt;&lt;D xsi:type="xsd:double"&gt;102503.757876456&lt;/D&gt;&lt;/FQL&gt;&lt;FQL&gt;&lt;Q&gt;PETR4-BR^FF_SALES(ANN_R,-1AY,,,,USD)&lt;/Q&gt;&lt;R&gt;1&lt;/R&gt;&lt;C&gt;1&lt;/C&gt;&lt;D xsi:type="xsd:double"&gt;124165.765406013&lt;/D&gt;&lt;/FQL&gt;&lt;FQL&gt;&lt;Q&gt;PETR4-BR^FF_SALES(ANN_R,-2AY,,,,USD)&lt;/Q&gt;&lt;R&gt;1&lt;/R&gt;&lt;C&gt;1&lt;/C&gt;&lt;D xsi:type="xsd:double"&gt;83886.7496225238&lt;/D&gt;&lt;/FQL&gt;&lt;FQL&gt;&lt;Q&gt;YPFD-AR^FF_NET_INC(ANN_R,0Y,,,,USD)&lt;/Q&gt;&lt;R&gt;1&lt;/R&gt;&lt;C&gt;1&lt;/C&gt;&lt;D xsi:type="xsd:double"&gt;-5302.52144486783&lt;/D&gt;&lt;/FQL&gt;&lt;FQL&gt;&lt;Q&gt;YPFD-AR^FF_NET_INC(ANN_R,-1AY,,,,USD)&lt;/Q&gt;&lt;R&gt;1&lt;/R&gt;&lt;C&gt;1&lt;/C&gt;&lt;D xsi:type="xsd:double"&gt;2210.524749876&lt;/D&gt;&lt;/FQL&gt;&lt;FQL&gt;&lt;Q&gt;YPFD-AR^FF_EBITDA_OPER(ANN_R,0Y,,,,USD)&lt;/Q&gt;&lt;R&gt;1&lt;/R&gt;&lt;C&gt;1&lt;/C&gt;&lt;D xsi:type="xsd:double"&gt;6947.74226&lt;/D&gt;&lt;/FQL&gt;&lt;FQL&gt;&lt;Q&gt;YPFD-AR^FF_EBITDA_OPER(ANN_R,-1AY,,,,USD)&lt;/Q&gt;&lt;R&gt;1&lt;/R&gt;&lt;C&gt;1&lt;/C&gt;&lt;D xsi:type="xsd:double"&gt;5709.08011&lt;/D&gt;&lt;/FQL&gt;&lt;FQL&gt;&lt;Q&gt;YPFD-AR^FF_SALES(ANN_R,0Y,,,,USD)&lt;/Q&gt;&lt;R&gt;1&lt;/R&gt;&lt;C&gt;1&lt;/C&gt;&lt;D xsi:type="xsd:double"&gt;18296.0199164962&lt;/D&gt;&lt;/FQL&gt;&lt;FQL&gt;&lt;Q&gt;YPFD-AR^FF_SALES(ANN_R,-1AY,,,,USD)&lt;/Q&gt;&lt;R&gt;1&lt;/R&gt;&lt;C&gt;1&lt;/C&gt;&lt;D xsi:type="xsd:double"&gt;18997.6713915048&lt;/D&gt;&lt;/FQL&gt;&lt;FQL&gt;&lt;Q&gt;YPFD-AR^FF_SALES(ANN_R,-2AY,,,,USD)&lt;/Q&gt;&lt;R&gt;1&lt;/R&gt;&lt;C&gt;1&lt;/C&gt;&lt;D xsi:type="xsd:double"&gt;13055.6917971801&lt;/D&gt;&lt;/FQL&gt;&lt;FQL&gt;&lt;Q&gt;GPRK-US^FF_NET_INC(ANN_R,0Y,,,,USD)&lt;/Q&gt;&lt;R&gt;1&lt;/R&gt;&lt;C&gt;1&lt;/C&gt;&lt;D xsi:type="xsd:double"&gt;111.068&lt;/D&gt;&lt;/FQL&gt;&lt;FQL&gt;&lt;Q&gt;GPRK-US^FF_NET_INC(ANN_R,-1AY,,,,USD)&lt;/Q&gt;&lt;R&gt;1&lt;/R&gt;&lt;C&gt;1&lt;/C&gt;&lt;D xsi:type="xsd:double"&gt;224.435&lt;/D&gt;&lt;/FQL&gt;&lt;FQL&gt;&lt;Q&gt;GPRK-US^FF_EBITDA_OPER(ANN_R,0Y,,,,USD)&lt;/Q&gt;&lt;R&gt;1&lt;/R&gt;&lt;C&gt;1&lt;/C&gt;&lt;D xsi:type="xsd:double"&gt;456.055&lt;/D&gt;&lt;/FQL&gt;&lt;FQL&gt;&lt;Q&gt;GPRK-US^FF_EBITDA_OPER(ANN_R,-1AY,,,,USD)&lt;/Q&gt;&lt;R&gt;1&lt;/R&gt;&lt;C&gt;1&lt;/C&gt;&lt;D xsi:type="xsd:double"&gt;621.252&lt;/D&gt;&lt;/FQL&gt;&lt;FQL&gt;&lt;Q&gt;GPRK-US^FF_SALES(ANN_R,0Y,,,,USD)&lt;/Q&gt;&lt;R&gt;1&lt;/R&gt;&lt;C&gt;1&lt;/C&gt;&lt;D xsi:type="xsd:double"&gt;756.625&lt;/D&gt;&lt;/FQL&gt;&lt;FQL&gt;&lt;Q&gt;GPRK-US^FF_SALES(ANN_R,-1AY,,,,USD)&lt;/Q&gt;&lt;R&gt;1&lt;/R&gt;&lt;C&gt;1&lt;/C&gt;&lt;D xsi:type="xsd:double"&gt;1049.579&lt;/D&gt;&lt;/FQL&gt;&lt;FQL&gt;&lt;Q&gt;GPRK-US^FF_SALES(ANN_R,-2AY,,,,USD)&lt;/Q&gt;&lt;R&gt;1&lt;/R&gt;&lt;C&gt;1&lt;/C&gt;&lt;D xsi:type="xsd:double"&gt;688.543&lt;/D&gt;&lt;/FQL&gt;&lt;FQL&gt;&lt;Q&gt;RECV3-BR^FF_NET_INC(ANN_R,0Y,,,,USD)&lt;/Q&gt;&lt;R&gt;1&lt;/R&gt;&lt;C&gt;1&lt;/C&gt;&lt;D xsi:type="xsd:double"&gt;141.932931052744&lt;/D&gt;&lt;/FQL&gt;&lt;FQL&gt;&lt;Q&gt;RECV3-BR^FF_NET_INC(ANN_R,-1AY,,,,USD)&lt;/Q&gt;&lt;R&gt;1&lt;/R&gt;&lt;C&gt;1&lt;/C&gt;&lt;D xsi:type="xsd:double"&gt;223.32995921661&lt;/D&gt;&lt;/FQL&gt;&lt;FQL&gt;&lt;Q&gt;RECV3-BR^FF_EBITDA_OPER(ANN_R,0Y,,,,USD)&lt;/Q&gt;&lt;R&gt;1&lt;/R&gt;&lt;C&gt;1&lt;/C&gt;&lt;D xsi:type="xsd:double"&gt;256.6552&lt;/D&gt;&lt;/FQL&gt;&lt;FQL&gt;&lt;Q&gt;RECV3-BR^FF_EBITDA_OPER(ANN_R,-1AY,,,,USD)&lt;/Q&gt;&lt;R&gt;1&lt;/R&gt;&lt;C&gt;1&lt;/C&gt;&lt;D xsi:type="xsd:double"&gt;312.06394&lt;/D&gt;&lt;/FQL&gt;&lt;FQL&gt;&lt;Q&gt;RECV3-BR^FF_SALES(ANN_R,0Y,,,,USD)&lt;/Q&gt;&lt;R&gt;1&lt;/R&gt;&lt;C&gt;1&lt;/C&gt;&lt;D xsi:type="xsd:double"&gt;563.44913909331&lt;/D&gt;&lt;/FQL&gt;&lt;FQL&gt;&lt;Q&gt;RECV3-BR^FF_SALES(ANN_R,-1AY,,,,USD)&lt;/Q&gt;&lt;R&gt;1&lt;/R&gt;&lt;C&gt;1&lt;/C&gt;&lt;D xsi:type="xsd:double"&gt;576.228126889422&lt;/D&gt;&lt;/FQL&gt;&lt;FQL&gt;&lt;Q&gt;RECV3-BR^FF_SALES(ANN_R,-2AY,,,,USD)&lt;/Q&gt;&lt;R&gt;1&lt;/R&gt;&lt;C&gt;1&lt;/C&gt;&lt;D xsi:type="xsd:double"&gt;192.840861744583&lt;/D&gt;&lt;/FQL&gt;&lt;FQL&gt;&lt;Q&gt;PRIO3-BR^FF_NET_INC(ANN_R,0Y,,,,USD)&lt;/Q&gt;&lt;R&gt;1&lt;/R&gt;&lt;C&gt;1&lt;/C&gt;&lt;D xsi:type="xsd:double"&gt;1037.04287148491&lt;/D&gt;&lt;/FQL&gt;&lt;FQL&gt;&lt;Q&gt;PRIO3-BR^FF_NET_INC(ANN_R,-1AY,,,,USD)&lt;/Q&gt;&lt;R&gt;1&lt;/R&gt;&lt;C&gt;1&lt;/C&gt;&lt;D xsi:type="xsd:double"&gt;663.580563739777&lt;/D&gt;&lt;/FQL&gt;&lt;FQL&gt;&lt;Q&gt;PRIO3-BR^FF_EBITDA_OPER(ANN_R,0Y,,,,USD)&lt;/Q&gt;&lt;R&gt;1&lt;/R&gt;&lt;C&gt;1&lt;/C&gt;&lt;D xsi:type="xsd:double"&gt;1825.72644&lt;/D&gt;&lt;/FQL&gt;&lt;FQL&gt;&lt;Q&gt;PRIO3-BR^FF_EBITDA_OPER(ANN_R,-1AY,,,,USD)&lt;/Q&gt;&lt;R&gt;1&lt;/R&gt;&lt;C&gt;1&lt;/C&gt;&lt;D xsi:type="xsd:double"&gt;912.86127&lt;/D&gt;&lt;/FQL&gt;&lt;FQL&gt;&lt;Q&gt;PRIO3-BR^FF_SALES(ANN_R,0Y,,,,USD)&lt;/Q&gt;&lt;R&gt;1&lt;/R&gt;&lt;C&gt;1&lt;/C&gt;&lt;D xsi:type="xsd:double"&gt;2383.44871262804&lt;/D&gt;&lt;/FQL&gt;&lt;FQL&gt;&lt;Q&gt;PRIO3-BR^FF_SALES(ANN_R,-1AY,,,,USD)&lt;/Q&gt;&lt;R&gt;1&lt;/R&gt;&lt;C&gt;1&lt;/C&gt;&lt;D xsi:type="xsd:double"&gt;1232.15337403007&lt;/D&gt;&lt;/FQL&gt;&lt;FQL&gt;&lt;Q&gt;PRIO3-BR^FF_SALES(ANN_R,-2AY,,,,USD)&lt;/Q&gt;&lt;R&gt;1&lt;/R&gt;&lt;C&gt;1&lt;/C&gt;&lt;D xsi:type="xsd:double"&gt;814.650920765027&lt;/D&gt;&lt;/FQL&gt;&lt;FQL&gt;&lt;Q&gt;HES-US^FF_NET_INC(ANN_R,0Y,,,,USD)&lt;/Q&gt;&lt;R&gt;1&lt;/R&gt;&lt;C&gt;1&lt;/C&gt;&lt;D xsi:type="xsd:double"&gt;1382&lt;/D&gt;&lt;/FQL&gt;&lt;FQL&gt;&lt;Q&gt;HES-US^FF_NET_INC(ANN_R,-1AY,,,,USD)&lt;/Q&gt;&lt;R&gt;1&lt;/R&gt;&lt;C&gt;1&lt;/C&gt;&lt;D xsi:type="xsd:double"&gt;2096&lt;/D&gt;&lt;/FQL&gt;&lt;FQL&gt;&lt;Q&gt;HES-US^FF_EBITDA_OPER(ANN_R,0Y,,,,USD)&lt;/Q&gt;&lt;R&gt;1&lt;/R&gt;&lt;C&gt;1&lt;/C&gt;&lt;D xsi:type="xsd:double"&gt;5359&lt;/D&gt;&lt;/FQL&gt;&lt;FQL&gt;&lt;Q&gt;HES-US^FF_EBITDA_OPER(ANN_R,-1AY,,,,USD)&lt;/Q&gt;&lt;R&gt;1&lt;/R&gt;&lt;C&gt;1&lt;/C&gt;&lt;D xsi:type="xsd:double"&gt;6211&lt;/D&gt;&lt;/FQL&gt;&lt;FQL&gt;&lt;Q&gt;HES-US^FF_SALES(ANN_R,0Y,,,,USD)&lt;/Q&gt;&lt;R&gt;1&lt;/R&gt;&lt;C&gt;1&lt;/C&gt;&lt;D xsi:type="xsd:double"&gt;10701&lt;/D&gt;&lt;/FQL&gt;&lt;FQL&gt;&lt;Q&gt;HES-US^FF_SALES(ANN_R,-1AY,,,,USD)&lt;/Q&gt;&lt;R&gt;1&lt;/R&gt;&lt;C&gt;1&lt;/C&gt;&lt;D xsi:type="xsd:double"&gt;11909&lt;/D&gt;&lt;/FQL&gt;&lt;FQL&gt;&lt;Q&gt;HES-US^FF_SALES(ANN_R,-2AY,,,,USD)&lt;/Q&gt;&lt;R&gt;1&lt;/R&gt;&lt;C&gt;1&lt;/C&gt;&lt;D xsi:type="xsd:double"&gt;7716&lt;/D&gt;&lt;/FQL&gt;&lt;FQL&gt;&lt;Q&gt;EOG-US^FF_NET_INC(ANN_R,0Y,,,,USD)&lt;/Q&gt;&lt;R&gt;1&lt;/R&gt;&lt;C&gt;1&lt;/C&gt;&lt;D xsi:type="xsd:double"&gt;7594&lt;/D&gt;&lt;/FQL&gt;&lt;FQL&gt;&lt;Q&gt;EOG-US^FF_NET_INC(ANN_R,-1AY,,,,USD)&lt;/Q&gt;&lt;R&gt;1&lt;/R&gt;&lt;C&gt;1&lt;/C&gt;&lt;D xsi:type="xsd:double"&gt;7759&lt;/D&gt;&lt;/FQL&gt;&lt;FQL&gt;&lt;Q&gt;EOG-US^FF_EBITDA_OPER(ANN_R,0Y,,,,USD)&lt;/Q&gt;&lt;R&gt;1&lt;/R&gt;&lt;C&gt;1&lt;/C&gt;&lt;D xsi:type="xsd:double"&gt;12385&lt;/D&gt;&lt;/FQL&gt;&lt;FQL&gt;&lt;Q&gt;EOG-US^FF_EBITDA_OPER(ANN_R,-1AY,,,,USD)&lt;/Q&gt;&lt;R&gt;1&lt;/R&gt;&lt;C&gt;1&lt;/C&gt;&lt;D xsi:type="xsd:double"&gt;17843&lt;/D&gt;&lt;/FQL&gt;&lt;FQL&gt;&lt;Q&gt;EOG-US^FF_SALES(ANN_R,0Y,,,,USD)&lt;/Q&gt;&lt;R&gt;1&lt;/R&gt;&lt;C&gt;1&lt;/C&gt;&lt;D xsi:type="xsd:double"&gt;23273&lt;/D&gt;&lt;/FQL&gt;&lt;FQL&gt;&lt;Q&gt;EOG-US^FF_SALES(ANN_R,-1AY,,,,USD)&lt;/Q&gt;&lt;R&gt;1&lt;/R&gt;&lt;C&gt;1&lt;/C&gt;&lt;D xsi:type="xsd:double"&gt;29610&lt;/D&gt;&lt;/FQL&gt;&lt;FQL&gt;&lt;Q&gt;EOG-US^FF_SALES(ANN_R,-2AY,,,,USD)&lt;/Q&gt;&lt;R&gt;1&lt;/R&gt;&lt;C&gt;1&lt;/C&gt;&lt;D xsi:type="xsd:double"&gt;19777&lt;/D&gt;&lt;/FQL&gt;&lt;FQL&gt;&lt;Q&gt;FANG-US^FF_NET_INC(ANN_R,0Y,,,,USD)&lt;/Q&gt;&lt;R&gt;1&lt;/R&gt;&lt;C&gt;1&lt;/C&gt;&lt;D xsi:type="xsd:double"&gt;3121&lt;/D&gt;&lt;/FQL&gt;&lt;FQL&gt;&lt;Q&gt;FANG-US^FF_NET_INC(ANN_R,-1AY,,,,USD)&lt;/Q&gt;&lt;R&gt;1&lt;/R&gt;&lt;C&gt;1&lt;/C&gt;&lt;D xsi:type="xsd:double"&gt;4344&lt;/D&gt;&lt;/FQL&gt;&lt;FQL&gt;&lt;Q&gt;FANG-US^FF_EBITDA_OPER(ANN_R,0Y,,,,USD)&lt;/Q&gt;&lt;R&gt;1&lt;/R&gt;&lt;C&gt;1&lt;/C&gt;&lt;D xsi:type="xsd:double"&gt;6327&lt;/D&gt;&lt;/FQL&gt;&lt;FQL&gt;&lt;Q&gt;FANG-US^FF_EBITDA_OPER(ANN_R,-1AY,,,,USD)&lt;/Q&gt;&lt;R&gt;1&lt;/R&gt;&lt;C&gt;1&lt;/C&gt;&lt;D xsi:type="xsd:double"&gt;7866&lt;/D&gt;&lt;/FQL&gt;&lt;FQL&gt;&lt;Q&gt;FANG-US^FF_SALES(ANN_R,0Y,,,,USD)&lt;/Q&gt;&lt;R&gt;1&lt;/R&gt;&lt;C&gt;1&lt;/C&gt;&lt;D xsi:type="xsd:double"&gt;8412&lt;/D&gt;&lt;/FQL&gt;&lt;FQL&gt;&lt;Q&gt;FANG-US^FF_SALES(ANN_R,-1AY,,,,USD)&lt;/Q&gt;&lt;R&gt;1&lt;/R&gt;&lt;C&gt;1&lt;/C&gt;&lt;D xsi:type="xsd:double"&gt;9643&lt;/D&gt;&lt;/FQL&gt;&lt;FQL&gt;&lt;Q&gt;FANG-US^FF_SALES(ANN_R,-2AY,,,,USD)&lt;/Q&gt;&lt;R&gt;1&lt;/R&gt;&lt;C&gt;1&lt;/C&gt;&lt;D xsi:type="xsd:double"&gt;6797&lt;/D&gt;&lt;/FQL&gt;&lt;FQL&gt;&lt;Q&gt;VIST-US^FF_NET_INC(ANN_R,0Y,,,,USD)&lt;/Q&gt;&lt;R&gt;1&lt;/R&gt;&lt;C&gt;1&lt;/C&gt;&lt;D xsi:type="xsd:double"&gt;396.955&lt;/D&gt;&lt;/FQL&gt;&lt;FQL&gt;&lt;Q&gt;VIST-US^FF_NET_INC(ANN_R,-1AY,,,,USD)&lt;/Q&gt;&lt;R&gt;1&lt;/R&gt;&lt;C&gt;1&lt;/C&gt;&lt;D xsi:type="xsd:double"&gt;269.535&lt;/D&gt;&lt;/FQL&gt;&lt;FQL&gt;&lt;Q&gt;VIST-US^FF_EBITDA_OPER(ANN_R,0Y,,,,USD)&lt;/Q&gt;&lt;R&gt;1&lt;/R&gt;&lt;C&gt;1&lt;/C&gt;&lt;D xsi:type="xsd:double"&gt;729.451&lt;/D&gt;&lt;/FQL&gt;&lt;FQL&gt;&lt;Q&gt;VIST-US^FF_EBITDA_OPER(ANN_R,-1AY,,,,USD)&lt;/Q&gt;&lt;R&gt;1&lt;/R&gt;&lt;C&gt;1&lt;/C&gt;&lt;D xsi:type="xsd:double"&gt;739.975&lt;/D&gt;&lt;/FQL&gt;&lt;FQL&gt;&lt;Q&gt;VIST-US^FF_SALES(ANN_R,0Y,,,,USD)&lt;/Q&gt;&lt;R&gt;1&lt;/R&gt;&lt;C&gt;1&lt;/C&gt;&lt;D xsi:type="xsd:double"&gt;1168.774&lt;/D&gt;&lt;/FQL&gt;&lt;FQL&gt;&lt;Q&gt;VIST-US^FF_SALES(ANN_R,-1AY,,,,USD)&lt;/Q&gt;&lt;R&gt;1&lt;/R&gt;&lt;C&gt;1&lt;/C&gt;&lt;D xsi:type="xsd:double"&gt;1187.66&lt;/D&gt;&lt;/FQL&gt;&lt;FQL&gt;&lt;Q&gt;VIST-US^FF_SALES(ANN_R,-2AY,,,,USD)&lt;/Q&gt;&lt;R&gt;1&lt;/R&gt;&lt;C&gt;1&lt;/C&gt;&lt;D xsi:type="xsd:double"&gt;652.187&lt;/D&gt;&lt;/FQL&gt;&lt;FQL&gt;&lt;Q&gt;VIST-US^FF_EPS(ANN_R,NOW,,,,USD)&lt;/Q&gt;&lt;R&gt;1&lt;/R&gt;&lt;C&gt;1&lt;/C&gt;&lt;D xsi:type="xsd:double"&gt;4.2373&lt;/D&gt;&lt;/FQL&gt;&lt;FQL&gt;&lt;Q&gt;PAMP-AR^FF_DEBT(QTR_R,0,,,,USD)&lt;/Q&gt;&lt;R&gt;1&lt;/R&gt;&lt;C&gt;1&lt;/C&gt;&lt;D xsi:type="xsd:double"&gt;1581.48698469321&lt;/D&gt;&lt;/FQL&gt;&lt;FQL&gt;&lt;Q&gt;PAMP-AR^FF_CASH_ST(QTR_R,0,,,,USD)&lt;/Q&gt;&lt;R&gt;1&lt;/R&gt;&lt;C&gt;1&lt;/C&gt;&lt;D xsi:type="xsd:double"&gt;845.789818477584&lt;/D&gt;&lt;/FQL&gt;&lt;FQL&gt;&lt;Q&gt;ECOPETROL-CO^FF_DEBT(QTR_R,0,,,,USD)&lt;/Q&gt;&lt;R&gt;1&lt;/R&gt;&lt;C&gt;1&lt;/C&gt;&lt;D xsi:type="xsd:double"&gt;28126.2464329484&lt;/D&gt;&lt;/FQL&gt;&lt;FQL&gt;&lt;Q&gt;ECOPETROL-CO^FF_CASH_ST(QTR_R,0,,,,USD)&lt;/Q&gt;&lt;R&gt;1&lt;/R&gt;&lt;C&gt;1&lt;/C&gt;&lt;D xsi:type="xsd:double"&gt;4364.52906520572&lt;/D&gt;&lt;/FQL&gt;&lt;FQL&gt;&lt;Q&gt;PETR4-BR^FF_DEBT(QTR_R,0,,,,USD)&lt;/Q&gt;&lt;R&gt;1&lt;/R&gt;&lt;C&gt;1&lt;/C&gt;&lt;D xsi:type="xsd:double"&gt;61722.105229497&lt;/D&gt;&lt;/FQL&gt;&lt;FQL&gt;&lt;Q&gt;PETR4-BR^FF_CASH_ST(QTR_R,0,,,,USD)&lt;/Q&gt;&lt;R&gt;1&lt;/R&gt;&lt;C&gt;1&lt;/C&gt;&lt;D xsi:type="xsd:double"&gt;16333.9678777456&lt;/D&gt;&lt;/FQL&gt;&lt;FQL&gt;&lt;Q&gt;YPFD-AR^FF_DEBT(QTR_R,0,,,,USD)&lt;/Q&gt;&lt;R&gt;1&lt;/R&gt;&lt;C&gt;1&lt;/C&gt;&lt;D xsi:type="xsd:double"&gt;9435.43067499786&lt;/D&gt;&lt;/FQL&gt;&lt;FQL&gt;&lt;Q&gt;YPFD-AR^FF_CASH_ST(QTR_R,0,,,,USD)&lt;/Q&gt;&lt;R&gt;1&lt;/R&gt;&lt;C&gt;1&lt;/C&gt;&lt;D xsi:type="xsd:double"&gt;1597.78543189424&lt;/D&gt;&lt;/FQL&gt;&lt;FQL&gt;&lt;Q&gt;GPRK-US^FF_DEBT(QTR_R,0,,,,USD)&lt;/Q&gt;&lt;R&gt;1&lt;/R&gt;&lt;C&gt;1&lt;/C&gt;&lt;D xsi:type="xsd:double"&gt;525.781&lt;/D&gt;&lt;/FQL&gt;&lt;FQL&gt;&lt;Q&gt;GPRK-US^FF_CASH_ST(QTR_R,0,,,,USD)&lt;/Q&gt;&lt;R&gt;1&lt;/R&gt;&lt;C&gt;1&lt;/C&gt;&lt;D xsi:type="xsd:double"&gt;150.721&lt;/D&gt;&lt;/FQL&gt;&lt;FQL&gt;&lt;Q&gt;RECV3-BR^FF_DEBT(QTR_R,0,,,,USD)&lt;/Q&gt;&lt;R&gt;1&lt;/R&gt;&lt;C&gt;1&lt;/C&gt;&lt;D xsi:type="xsd:double"&gt;180.311934192896&lt;/D&gt;&lt;/FQL&gt;&lt;FQL&gt;&lt;Q&gt;RECV3-BR^FF_CASH_ST(QTR_R,0,,,,USD)&lt;/Q&gt;&lt;R&gt;1&lt;/R&gt;&lt;C&gt;1&lt;/C&gt;&lt;D xsi:type="xsd:double"&gt;137.21424022758&lt;/D&gt;&lt;/FQL&gt;&lt;FQL&gt;&lt;Q&gt;PRIO3-BR^FF_DEBT(QTR_R,0,,,,USD)&lt;/Q&gt;&lt;R&gt;1&lt;/R&gt;&lt;C&gt;1&lt;/C&gt;&lt;D xsi:type="xsd:double"&gt;2216.47674866366&lt;/D&gt;&lt;/FQL&gt;&lt;FQL&gt;&lt;Q&gt;PRIO3-BR^FF_CASH_ST(QTR_R,0,,,,USD)&lt;/Q&gt;&lt;R&gt;1&lt;/R&gt;&lt;C&gt;1&lt;/C&gt;&lt;D xsi:type="xsd:double"&gt;805.12091677165&lt;/D&gt;&lt;/FQL&gt;&lt;FQL&gt;&lt;Q&gt;HES-US^FF_DEBT(QTR_R,0,,,,USD)&lt;/Q&gt;&lt;R&gt;1&lt;/R&gt;&lt;C&gt;1&lt;/C&gt;&lt;D xsi:type="xsd:double"&gt;9884&lt;/D&gt;&lt;/FQL&gt;&lt;FQL&gt;&lt;Q&gt;HES-US^FF_CASH_ST(QTR_R,0,,,,USD)&lt;/Q&gt;&lt;R&gt;1&lt;/R&gt;&lt;C&gt;1&lt;/C&gt;&lt;D xsi:type="xsd:double"&gt;2025&lt;/D&gt;&lt;/FQL&gt;&lt;FQL&gt;&lt;Q&gt;EOG-US^FF_DEBT(QTR_R,0,,,,USD)&lt;/Q&gt;&lt;R&gt;1&lt;/R&gt;&lt;C&gt;1&lt;/C&gt;&lt;D xsi:type="xsd:double"&gt;4109&lt;/D&gt;&lt;/FQL&gt;&lt;FQL&gt;&lt;Q&gt;EOG-US^FF_CASH_ST(QTR_R,0,,,,USD)&lt;/Q&gt;&lt;R&gt;1&lt;/R&gt;&lt;C&gt;1&lt;/C&gt;&lt;D xsi:type="xsd:double"&gt;5292&lt;/D&gt;&lt;/FQL&gt;&lt;FQL&gt;&lt;Q&gt;FANG-US^FF_DEBT(QTR_R,0,,,,USD)&lt;/Q&gt;&lt;R&gt;1&lt;/R&gt;&lt;C&gt;1&lt;/C&gt;&lt;D xsi:type="xsd:double"&gt;6629&lt;/D&gt;&lt;/FQL&gt;&lt;FQL&gt;&lt;Q&gt;FANG-US^FF_CASH_ST(QTR_R,0,,,,USD)&lt;/Q&gt;&lt;R&gt;1&lt;/R&gt;&lt;C&gt;1&lt;/C&gt;&lt;D xsi:type="xsd:double"&gt;899&lt;/D&gt;&lt;/FQL&gt;&lt;FQL&gt;&lt;Q&gt;VIST-US^FF_DEBT(QTR_R,0,,,,USD)&lt;/Q&gt;&lt;R&gt;1&lt;/R&gt;&lt;C&gt;1&lt;/C&gt;&lt;D xsi:type="xsd:double"&gt;959.636&lt;/D&gt;&lt;/FQL&gt;&lt;FQL&gt;&lt;Q&gt;VIST-US^FF_CASH_ST(QTR_R,0,,,,USD)&lt;/Q&gt;&lt;R&gt;1&lt;/R&gt;&lt;C&gt;1&lt;/C&gt;&lt;D xsi:type="xsd:double"&gt;328.241&lt;/D&gt;&lt;/FQL&gt;&lt;FQL&gt;&lt;Q&gt;PAMP-AR^FCS_SHARES(TOT,SHS,ANN,0,,,,USD,M)&lt;/Q&gt;&lt;R&gt;1&lt;/R&gt;&lt;C&gt;1&lt;/C&gt;&lt;D xsi:type="xsd:double"&gt;1359.641441&lt;/D&gt;&lt;/FQL&gt;&lt;FQL&gt;&lt;Q&gt;PAMP-AR^FG_PRICE(0,,,USD)&lt;/Q&gt;&lt;R&gt;1&lt;/R&gt;&lt;C&gt;1&lt;/C&gt;&lt;D xsi:type="xsd:double"&gt;2.5254793&lt;/D&gt;&lt;/FQL&gt;&lt;FQL&gt;&lt;Q&gt;PAMP-AR^FG_COMPANY_NAME&lt;/Q&gt;&lt;R&gt;1&lt;/R&gt;&lt;C&gt;1&lt;/C&gt;&lt;D xsi:type="xsd:string"&gt;Pampa Energia SA&lt;/D&gt;&lt;/FQL&gt;&lt;FQL&gt;&lt;Q&gt;ECOPETROL-CO^FCS_SHARES(TOT,SHS,ANN,0,,,,USD,M)&lt;/Q&gt;&lt;R&gt;1&lt;/R&gt;&lt;C&gt;1&lt;/C&gt;&lt;D xsi:type="xsd:double"&gt;41116.69469&lt;/D&gt;&lt;/FQL&gt;&lt;FQL&gt;&lt;Q&gt;ECOPETROL-CO^FG_PRICE(0,,,USD)&lt;/Q&gt;&lt;R&gt;1&lt;/R&gt;&lt;C&gt;1&lt;/C&gt;&lt;D xsi:type="xsd:double"&gt;0.52342445&lt;/D&gt;&lt;/FQL&gt;&lt;FQL&gt;&lt;Q&gt;ECOPETROL-CO^FG_COMPANY_NAME&lt;/Q&gt;&lt;R&gt;1&lt;/R&gt;&lt;C&gt;1&lt;/C&gt;&lt;D xsi:type="xsd:string"&gt;Ecopetrol SA&lt;/D&gt;&lt;/FQL&gt;&lt;FQL&gt;&lt;Q&gt;PETR4-BR^FCS_SHARES(TOT,SHS,ANN,0,,,,USD,M)&lt;/Q&gt;&lt;R&gt;1&lt;/R&gt;&lt;C&gt;1&lt;/C&gt;&lt;D xsi:type="xsd:double"&gt;12940.137261&lt;/D&gt;&lt;/FQL&gt;&lt;FQL&gt;&lt;Q&gt;PETR4-BR^FG_PRICE(0,,,USD)&lt;/Q&gt;&lt;R&gt;1&lt;/R&gt;&lt;C&gt;1&lt;/C&gt;&lt;D xsi:type="xsd:double"&gt;6.504008&lt;/D&gt;&lt;/FQL&gt;&lt;FQL&gt;&lt;Q&gt;PETR4-BR^FG_COMPANY_NAME&lt;/Q&gt;&lt;R&gt;1&lt;/R&gt;&lt;C&gt;1&lt;/C&gt;&lt;D xsi:type="xsd:string"&gt;Petroleo Brasileiro SA Pfd&lt;/D&gt;&lt;/FQL&gt;&lt;FQL&gt;&lt;Q&gt;YPFD-AR^FCS_SHARES(TOT,SHS,ANN,0,,,,USD,M)&lt;/Q&gt;&lt;R&gt;1&lt;/R&gt;&lt;C&gt;1&lt;/C&gt;&lt;D xsi:type="xsd:double"&gt;395.152419&lt;/D&gt;&lt;/FQL&gt;&lt;FQL&gt;&lt;Q&gt;YPFD-AR^FG_PRICE(0,,,USD)&lt;/Q&gt;&lt;R&gt;1&lt;/R&gt;&lt;C&gt;1&lt;/C&gt;&lt;D xsi:type="xsd:double"&gt;27.238714&lt;/D&gt;&lt;/FQL&gt;&lt;FQL&gt;&lt;Q&gt;YPFD-AR^FG_COMPANY_NAME&lt;/Q&gt;&lt;R&gt;1&lt;/R&gt;&lt;C&gt;1&lt;/C&gt;&lt;D xsi:type="xsd:string"&gt;YPF SA Class D&lt;/D&gt;&lt;/FQL&gt;&lt;FQL&gt;&lt;Q&gt;GPRK-US^FCS_SHARES(TOT,SHS,ANN,0,,,,USD,M)&lt;/Q&gt;&lt;R&gt;1&lt;/R&gt;&lt;C&gt;1&lt;/C&gt;&lt;D xsi:type="xsd:double"&gt;56.903085&lt;/D&gt;&lt;/FQL&gt;&lt;FQL&gt;&lt;Q&gt;GPRK-US^FG_PRICE(0,,,USD)&lt;/Q&gt;&lt;R&gt;1&lt;/R&gt;&lt;C&gt;1&lt;/C&gt;&lt;D xsi:type="xsd:double"&gt;9.46&lt;/D&gt;&lt;/FQL&gt;&lt;FQL&gt;&lt;Q&gt;GPRK-US^FG_COMPANY_NAME&lt;/Q&gt;&lt;R&gt;1&lt;/R&gt;&lt;C&gt;1&lt;/C&gt;&lt;D xsi:type="xsd:string"&gt;GeoPark Ltd&lt;/D&gt;&lt;/FQL&gt;&lt;FQL&gt;&lt;Q&gt;RECV3-BR^FCS_SHARES(TOT,SHS,ANN,0,,,,USD,M)&lt;/Q&gt;&lt;R&gt;1&lt;/R&gt;&lt;C&gt;1&lt;/C&gt;&lt;D xsi:type="xsd:double"&gt;294.799138&lt;/D&gt;&lt;/FQL&gt;&lt;FQL&gt;&lt;Q&gt;RECV3-BR^FG_PRICE(0,,,USD)&lt;/Q&gt;&lt;R&gt;1&lt;/R&gt;&lt;C&gt;1&lt;/C&gt;&lt;D xsi:type="xsd:double"&gt;3.5839128&lt;/D&gt;&lt;/FQL&gt;&lt;FQL&gt;&lt;Q&gt;RECV3-BR^FG_COMPANY_NAME&lt;/Q&gt;&lt;R&gt;1&lt;/R&gt;&lt;C&gt;1&lt;/C&gt;&lt;D xsi:type="xsd:string"&gt;Petroreconcavo SA&lt;/D&gt;&lt;/FQL&gt;&lt;FQL&gt;&lt;Q&gt;PRIO3-BR^FCS_SHARES(TOT,SHS,ANN,0,,,,USD,M)&lt;/Q&gt;&lt;R&gt;1&lt;/R&gt;&lt;C&gt;1&lt;/C&gt;&lt;D xsi:type="xsd:double"&gt;838.358304&lt;/D&gt;&lt;/FQL&gt;&lt;FQL&gt;&lt;Q&gt;PRIO3-BR^FG_PRICE(0,,,USD)&lt;/Q&gt;&lt;R&gt;1&lt;/R&gt;&lt;C&gt;1&lt;/C&gt;&lt;D xsi:type="xsd:double"&gt;8.472512&lt;/D&gt;&lt;/FQL&gt;&lt;FQL&gt;&lt;Q&gt;PRIO3-BR^FG_COMPANY_NAME&lt;/Q&gt;&lt;R&gt;1&lt;/R&gt;&lt;C&gt;1&lt;/C&gt;&lt;D xsi:type="xsd:string"&gt;Prio SA&lt;/D&gt;&lt;/FQL&gt;&lt;FQL&gt;&lt;Q&gt;HES-US^FCS_SHARES(TOT,SHS,ANN,0,,,,USD,M)&lt;/Q&gt;&lt;R&gt;1&lt;/R&gt;&lt;C&gt;1&lt;/C&gt;&lt;D xsi:type="xsd:double"&gt;309.37536&lt;/D&gt;&lt;/FQL&gt;&lt;FQL&gt;&lt;Q&gt;HES-US^FG_PRICE(0,,,USD)&lt;/Q&gt;&lt;R&gt;1&lt;/R&gt;&lt;C&gt;1&lt;/C&gt;&lt;D xsi:type="xsd:double"&gt;141.23&lt;/D&gt;&lt;/FQL&gt;&lt;FQL&gt;&lt;Q&gt;HES-US^FG_COMPANY_NAME&lt;/Q&gt;&lt;R&gt;1&lt;/R&gt;&lt;C&gt;1&lt;/C&gt;&lt;D xsi:type="xsd:string"&gt;Hess Corporation&lt;/D&gt;&lt;/FQL&gt;&lt;FQL&gt;&lt;Q&gt;EOG-US^FCS_SHARES(TOT,SHS,ANN,0,,,,USD,M)&lt;/Q&gt;&lt;R&gt;1&lt;/R&gt;&lt;C&gt;1&lt;/C&gt;&lt;D xsi:type="xsd:double"&gt;587.215491&lt;/D&gt;&lt;/FQL&gt;&lt;FQL&gt;&lt;Q&gt;EOG-US^FG_PRICE(0,,,USD)&lt;/Q&gt;&lt;R&gt;1&lt;/R&gt;&lt;C&gt;1&lt;/C&gt;&lt;D xsi:type="xsd:double"&gt;123.11&lt;/D&gt;&lt;/FQL&gt;&lt;FQL&gt;&lt;Q&gt;EOG-US^FG_COMPANY_NAME&lt;/Q&gt;&lt;R&gt;1&lt;/R&gt;&lt;C&gt;1&lt;/C&gt;&lt;D xsi:type="xsd:string"&gt;EOG Resources, Inc.&lt;/D&gt;&lt;/FQL&gt;&lt;FQL&gt;&lt;Q&gt;FANG-US^FCS_SHARES(TOT,SHS,ANN,0,,,,USD,M)&lt;/Q&gt;&lt;R&gt;1&lt;/R&gt;&lt;C&gt;1&lt;/C&gt;&lt;D xsi:type="xsd:double"&gt;179.753123&lt;/D&gt;&lt;/FQL&gt;&lt;FQL&gt;&lt;Q&gt;FANG-US^FG_PRICE(0,,,USD)&lt;/Q&gt;&lt;R&gt;1&lt;/R&gt;&lt;C&gt;1&lt;/C&gt;&lt;D xsi:type="xsd:double"&gt;198.22&lt;/D&gt;&lt;/FQL&gt;&lt;FQL&gt;&lt;Q&gt;FANG-US^FG_COMPANY_NAME&lt;/Q&gt;&lt;R&gt;1&lt;/R&gt;&lt;C&gt;1&lt;/C&gt;&lt;D xsi:type="xsd:string"&gt;Diamondback Energy, Inc.&lt;/D&gt;&lt;/FQL&gt;&lt;FQL&gt;&lt;Q&gt;VIST-US^FCS_SHARES(TOT,SHS,ANN,0,,,,USD,M)&lt;/Q&gt;&lt;R&gt;1&lt;/R&gt;&lt;C&gt;1&lt;/C&gt;&lt;D xsi:type="xsd:double"&gt;115.022095&lt;/D&gt;&lt;/FQL&gt;&lt;FQL&gt;&lt;Q&gt;VIST-US^FG_PRICE(0,,,USD)&lt;/Q&gt;&lt;R&gt;1&lt;/R&gt;&lt;C&gt;1&lt;/C&gt;&lt;D xsi:type="xsd:double"&gt;42.88&lt;/D&gt;&lt;/FQL&gt;&lt;FQL&gt;&lt;Q&gt;VIST-US^FG_COMPANY_NAME&lt;/Q&gt;&lt;R&gt;1&lt;/R&gt;&lt;C&gt;1&lt;/C&gt;&lt;D xsi:type="xsd:string"&gt;Vista Energy SAB de CV Sponsored ADR Class A&lt;/D&gt;&lt;/FQL&gt;&lt;/Schema&gt;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Hongjia Cui</author>
  </authors>
  <commentList>
    <comment ref="G4" authorId="0" shapeId="0" xr:uid="{9E38DCD9-D317-4C1A-9232-ABB4BA982CC5}">
      <text>
        <r>
          <rPr>
            <b/>
            <sz val="9"/>
            <color indexed="81"/>
            <rFont val="Tahoma"/>
            <charset val="1"/>
          </rPr>
          <t>Hongjia Cui:</t>
        </r>
        <r>
          <rPr>
            <sz val="9"/>
            <color indexed="81"/>
            <rFont val="Tahoma"/>
            <charset val="1"/>
          </rPr>
          <t xml:space="preserve">
Such increase was primarily driven by higher realized prices and higher production.</t>
        </r>
      </text>
    </comment>
    <comment ref="L4" authorId="0" shapeId="0" xr:uid="{5AF2A51F-1904-4489-B44E-0EB9674F21D6}">
      <text>
        <r>
          <rPr>
            <b/>
            <sz val="9"/>
            <color indexed="81"/>
            <rFont val="Tahoma"/>
            <charset val="1"/>
          </rPr>
          <t>Hongjia Cui:</t>
        </r>
        <r>
          <rPr>
            <sz val="9"/>
            <color indexed="81"/>
            <rFont val="Tahoma"/>
            <charset val="1"/>
          </rPr>
          <t xml:space="preserve">
Such decrease was primarily driven by a decrease in realized crude oil price of 8%, partially offset by an increase in crude oil sales volumes of 7% year over year.</t>
        </r>
      </text>
    </comment>
    <comment ref="L19" authorId="0" shapeId="0" xr:uid="{12801509-8A37-42ED-B3E8-32407970D537}">
      <text>
        <r>
          <rPr>
            <b/>
            <sz val="9"/>
            <color indexed="81"/>
            <rFont val="Tahoma"/>
            <charset val="1"/>
          </rPr>
          <t>Hongjia Cui:</t>
        </r>
        <r>
          <rPr>
            <sz val="9"/>
            <color indexed="81"/>
            <rFont val="Tahoma"/>
            <charset val="1"/>
          </rPr>
          <t xml:space="preserve">
mainly driven by the gains related to the Conventional Asset Transaction and the gains related to the repatriation of 27% the export proceeds --&gt; Exports Increase Program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V5" authorId="0" shapeId="0" xr:uid="{BF2680A8-1336-4783-A9E4-33F24548309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“In Q2 2023, total production increased 4% on an interannual basis, driven by shale oil production. Sequentially, total production decreased 11%, mainly impacted by: (i) the transaction effective March 1, 2023, which resulted in 5.5 Mboe/d lower production during Q2 2023; (ii) pipeline evacuation capacity that limited Vista’s production growth, which was unlocked in June when the Company started exporting oil to Chile through existing capacity in Oldelval and the OTASA-OTC pipeline (iii) the Company’s focus on the pilots in Aguila Mora and Bajada del Palo Este, which led to fewer new well tie-ins than in an average quarter.” (VIST: 2023 6-K, 2023-7-13)</t>
        </r>
      </text>
    </comment>
    <comment ref="U6" authorId="0" shapeId="0" xr:uid="{C408573E-0809-4992-B647-B980B6B57155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Total production decreased 2% on an interannual basis, mainly impacted by the Conventional Assets Transaction, which resulted in 5.7 Mboe/d lower production during Q3 2023.</t>
        </r>
      </text>
    </comment>
    <comment ref="P17" authorId="0" shapeId="0" xr:uid="{D46F2C9D-22DE-4B24-B14D-BD96447A87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Q3 reaches 75000, Q4 reaches ultimate target 85000</t>
        </r>
      </text>
    </comment>
    <comment ref="P18" authorId="0" shapeId="0" xr:uid="{01DA83EC-CD69-4BB4-B668-EDA815D92B64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Q3 reaches 70000, Q4 reaches 75000</t>
        </r>
      </text>
    </comment>
    <comment ref="P19" authorId="0" shapeId="0" xr:uid="{A4AD57FB-4C57-4D95-BCA6-D57717C3BDE2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Q3 reaches 68000, Q4 reaches 70000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<sst xmlns="http://schemas.openxmlformats.org/spreadsheetml/2006/main" count="708" uniqueCount="377">
  <si>
    <t>Year ended</t>
  </si>
  <si>
    <t>December 31</t>
  </si>
  <si>
    <t>Net production volumes(1):</t>
  </si>
  <si>
    <t>Oil (MMbbl)</t>
  </si>
  <si>
    <t>— Argentina</t>
  </si>
  <si>
    <t>— Mexico</t>
  </si>
  <si>
    <t>Natural Gas (Bncf)</t>
  </si>
  <si>
    <t>NGL (MMboe)</t>
  </si>
  <si>
    <t>Total (MMboe)</t>
  </si>
  <si>
    <t>Average daily net production (boe/d)</t>
  </si>
  <si>
    <t>Average realized sales price:</t>
  </si>
  <si>
    <t>Oil (US$/bbl)</t>
  </si>
  <si>
    <t>Natural Gas (US$/MMBtu)</t>
  </si>
  <si>
    <t>NGL (US$/tn)</t>
  </si>
  <si>
    <t>Average realized sales price (US$/boe)</t>
  </si>
  <si>
    <t>Average unit costs (US$/boe)(2):</t>
  </si>
  <si>
    <t>Operating expenses</t>
  </si>
  <si>
    <t>Royalties(3)</t>
  </si>
  <si>
    <t>Depreciation, depletion and amortization</t>
  </si>
  <si>
    <t>Other data (in thousands of US$)</t>
  </si>
  <si>
    <t>revenue generated from productivity</t>
  </si>
  <si>
    <t xml:space="preserve">real revenue </t>
  </si>
  <si>
    <t>%</t>
  </si>
  <si>
    <t>Average Brent Oil Price</t>
  </si>
  <si>
    <t>Average Medanito Crude Oil Price</t>
  </si>
  <si>
    <t>Bear</t>
  </si>
  <si>
    <t>Base</t>
  </si>
  <si>
    <t>Bull</t>
  </si>
  <si>
    <t>Productivity xxxxx boe/day</t>
  </si>
  <si>
    <t>average realized sales 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</si>
  <si>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</si>
  <si>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</si>
  <si>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</si>
  <si>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</si>
  <si>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</si>
  <si>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</si>
  <si>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</si>
  <si>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</si>
  <si>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</si>
  <si>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</si>
  <si>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</si>
  <si>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</si>
  <si>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Q1-24</t>
  </si>
  <si>
    <t>Q2-24</t>
  </si>
  <si>
    <t>Q4-23</t>
  </si>
  <si>
    <t>Q3-23</t>
  </si>
  <si>
    <t>Q2-23</t>
  </si>
  <si>
    <t>Q1-23</t>
  </si>
  <si>
    <t>Q4-22</t>
  </si>
  <si>
    <t>Q3-22</t>
  </si>
  <si>
    <t>Q2-22</t>
  </si>
  <si>
    <t>Q1-22</t>
  </si>
  <si>
    <t>QOQ growth rate</t>
  </si>
  <si>
    <t>YOY growth rate</t>
  </si>
  <si>
    <t>2024E</t>
  </si>
  <si>
    <t>Q3-24E</t>
  </si>
  <si>
    <t>Q4-24E</t>
  </si>
  <si>
    <t>During the second quarter of 2024, we continue to make solid progress in the execution of our annual work program. We tie in 4-well pads during Q2, two in Bajada del Palo Oeste, one in Bajada del Palo Este and one in Aguada Federal for a total of 14 new wells. We connected 25 new wells during the first 6 months of the year, leaving us on track to deliver our activity guidance, which is between 50 and 54 new wells for the year.</t>
  </si>
  <si>
    <t>We also achieved a major milestone in terms of production capacity expansion by signing a contract with SLB for the second frac set.</t>
  </si>
  <si>
    <t>realized export price</t>
  </si>
  <si>
    <t>realized domestic price</t>
  </si>
  <si>
    <t>Export rate</t>
  </si>
  <si>
    <t>Wells</t>
  </si>
  <si>
    <t>Diluted (in U.S. Dollars per share):</t>
  </si>
  <si>
    <t>Basic (in U.S. Dollars per share):</t>
  </si>
  <si>
    <t>Earnings per share</t>
  </si>
  <si>
    <t>Total comprehensive profit for the year</t>
  </si>
  <si>
    <t>Other comprehensive income that shall not be reclassified to profit (loss) in subsequent years, net of taxes</t>
  </si>
  <si>
    <t>- Deferred income tax (expense) benefit</t>
  </si>
  <si>
    <t>- Profit (loss) from actuarial remediation related to employee benefits</t>
  </si>
  <si>
    <t>Other comprehensive income that shall not be reclassified to profit (loss) in subsequent periods</t>
  </si>
  <si>
    <t>Profit for the year, net</t>
  </si>
  <si>
    <t>Income tax (expense)</t>
  </si>
  <si>
    <t>Deferred income tax (expense)</t>
  </si>
  <si>
    <t>Current income tax (expense)</t>
  </si>
  <si>
    <t>Profit before income tax</t>
  </si>
  <si>
    <t>Financial income (expense), net</t>
  </si>
  <si>
    <t>Other financial income (expense)</t>
  </si>
  <si>
    <t>Interest expense</t>
  </si>
  <si>
    <t>Interest income</t>
  </si>
  <si>
    <t>Operating profit</t>
  </si>
  <si>
    <t>— </t>
  </si>
  <si>
    <t>(Impairment) reversal of long- lived assets</t>
  </si>
  <si>
    <t>Other operating expenses</t>
  </si>
  <si>
    <t>Other operating income</t>
  </si>
  <si>
    <t>Exploration expenses</t>
  </si>
  <si>
    <t>General and administrative expenses</t>
  </si>
  <si>
    <t>Selling expenses</t>
  </si>
  <si>
    <t>Gross profit</t>
  </si>
  <si>
    <t>Other non-cash costs related to the transfer of conventional assets</t>
  </si>
  <si>
    <t>Royalties and others</t>
  </si>
  <si>
    <t>Crude oil stock fluctuation</t>
  </si>
  <si>
    <t>Operating costs</t>
  </si>
  <si>
    <t>Cost of sales</t>
  </si>
  <si>
    <t>Revenue from contracts with customers</t>
  </si>
  <si>
    <t>(in thousands of US$)</t>
  </si>
  <si>
    <t>FY2023</t>
  </si>
  <si>
    <t>FY2022</t>
  </si>
  <si>
    <t>—</t>
  </si>
  <si>
    <t>FY2021</t>
  </si>
  <si>
    <t>Q2</t>
  </si>
  <si>
    <t>Q1</t>
  </si>
  <si>
    <t xml:space="preserve">60% export </t>
  </si>
  <si>
    <t>55% export</t>
  </si>
  <si>
    <t>65% export</t>
  </si>
  <si>
    <t>1 Cub m = 6.28981 barrels (bbl).</t>
  </si>
  <si>
    <t>Ongoing conflict in Ukraine and heightened tensioins in the Middle East will make price go up.</t>
  </si>
  <si>
    <t>OPEC+ production cut.</t>
  </si>
  <si>
    <t>Demand increases</t>
  </si>
  <si>
    <t>24E</t>
  </si>
  <si>
    <t>Month Ended March 31, 2024</t>
  </si>
  <si>
    <t>Month Ended February 29, 2024</t>
  </si>
  <si>
    <t>Month Ended January 31, 2024</t>
  </si>
  <si>
    <t>Month Ended December 31, 2023</t>
  </si>
  <si>
    <t>Month Ended November 30, 2023</t>
  </si>
  <si>
    <t>Month Ended October 31, 2023</t>
  </si>
  <si>
    <t>Month Ended September 31, 2023</t>
  </si>
  <si>
    <t>Year Ended December 31, 2023</t>
  </si>
  <si>
    <t>Year Ended December 31, 2022</t>
  </si>
  <si>
    <t>Year Ended December 31, 2021</t>
  </si>
  <si>
    <t>Year Ended December 31, 2020</t>
  </si>
  <si>
    <t>Year Ended December 31, 2019</t>
  </si>
  <si>
    <t>End of Period</t>
  </si>
  <si>
    <t>Average(1)</t>
  </si>
  <si>
    <t>Nominal Exchange Rate (in AR$/US$ at period end)(2)</t>
  </si>
  <si>
    <t>Consumer Price Index (CPI) variation (in %)(1)</t>
  </si>
  <si>
    <t>Nominal GDP (in millions of AR$)(1)</t>
  </si>
  <si>
    <t>Real GDP (% change)(1)</t>
  </si>
  <si>
    <t>50-54</t>
  </si>
  <si>
    <t>17 in the process in Argentina</t>
  </si>
  <si>
    <t>Mexico</t>
  </si>
  <si>
    <t>Argentina</t>
  </si>
  <si>
    <t>Net</t>
  </si>
  <si>
    <t>Gross</t>
  </si>
  <si>
    <t>Total</t>
  </si>
  <si>
    <t>Gas</t>
  </si>
  <si>
    <t>Oil</t>
  </si>
  <si>
    <t>Total Net Proved</t>
  </si>
  <si>
    <t>Net Proved undeveloped:</t>
  </si>
  <si>
    <t>(MMboe)</t>
  </si>
  <si>
    <t>(Bcf)</t>
  </si>
  <si>
    <t>(MMbbl)</t>
  </si>
  <si>
    <t>Total of oil and gas proved reserves</t>
  </si>
  <si>
    <t>Consumption plus natural gas sales(2)</t>
  </si>
  <si>
    <t>Crude oil, condensate and NGL(1)</t>
  </si>
  <si>
    <t>Total of oil and gas proved undeveloped reserves</t>
  </si>
  <si>
    <t>Total of oil and gas proved developed reserves</t>
  </si>
  <si>
    <t>Net Proved developed:</t>
  </si>
  <si>
    <t>Total Proved Undeveloped</t>
  </si>
  <si>
    <t>Total Proved Developed</t>
  </si>
  <si>
    <t>% Oil</t>
  </si>
  <si>
    <t>Total proved reserves (MMboe)</t>
  </si>
  <si>
    <t>Consumption plus natural gas sales(2) (Bcf)</t>
  </si>
  <si>
    <t>Consumption plus natural gas sales(2) (MMboe)</t>
  </si>
  <si>
    <t>Crude oil, condensate and NGL(1) (MMbbl)</t>
  </si>
  <si>
    <t>Acambuco</t>
  </si>
  <si>
    <t>Noroeste Basin</t>
  </si>
  <si>
    <t>Sur Río Deseado Este(4)</t>
  </si>
  <si>
    <t>Golfo San Jorge Basin</t>
  </si>
  <si>
    <t>Bandurria Norte(3)</t>
  </si>
  <si>
    <t>Aguada Federal(3)</t>
  </si>
  <si>
    <t>Charco del Palenque(1) (6)</t>
  </si>
  <si>
    <t>Águila Mora</t>
  </si>
  <si>
    <t>Coirón Amargo Sur Oeste(2)</t>
  </si>
  <si>
    <t>Jarilla Quemada(1) (6)</t>
  </si>
  <si>
    <t>Coirón Amargo Norte</t>
  </si>
  <si>
    <t>Bajada del Palo Este</t>
  </si>
  <si>
    <t>Entre Lomas Neuquén(6)</t>
  </si>
  <si>
    <t>25 de Mayo-Medanito(6)</t>
  </si>
  <si>
    <t>Jagüel de los Machos(6)</t>
  </si>
  <si>
    <t>Entre Lomas Río Negro(6)</t>
  </si>
  <si>
    <t>Bajada del Palo Oeste</t>
  </si>
  <si>
    <t>Neuquina Basin</t>
  </si>
  <si>
    <t>Average net NGL production for the year ended December 31, 2021 (Mbbl/d)(5)</t>
  </si>
  <si>
    <t>Average net NGL production for the year ended December 31, 2022 (Mbbl/d)(5)</t>
  </si>
  <si>
    <t>Average net NGL production for the year ended December 31, 2023 (Mbbl/d)(5)</t>
  </si>
  <si>
    <t>Block</t>
  </si>
  <si>
    <t>Average net gas production for the year ended December 31, 2021 (MMm3/d)(5)</t>
  </si>
  <si>
    <t>Average net gas production for the year ended December 31, 2022 (MMm3/d)(5)</t>
  </si>
  <si>
    <t>Average net gas production for the year ended December 31, 2023 (MMm3/d)(5)</t>
  </si>
  <si>
    <t>Yellow means assets transferred to Aconcagua, 40% product reserves</t>
  </si>
  <si>
    <t>Average net oil production for the year ended December 31, 2021 (Mbbl/d)(5)</t>
  </si>
  <si>
    <t>Average net oil production for the year ended December 31, 2022 (Mbbl/d)(5)</t>
  </si>
  <si>
    <t>Average net oil production for the year ended December 31, 2023 (Mbbl/d)(5)</t>
  </si>
  <si>
    <t>Fiscal year ended December,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</si>
  <si>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</si>
  <si>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</si>
  <si>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</si>
  <si>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</si>
  <si>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</si>
  <si>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</si>
  <si>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</si>
  <si>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</si>
  <si>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Q1 21</t>
  </si>
  <si>
    <t>Q2 21</t>
  </si>
  <si>
    <t>Q3 21</t>
  </si>
  <si>
    <t>Q4 21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</si>
  <si>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</si>
  <si>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</si>
  <si>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</si>
  <si>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</si>
  <si>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</si>
  <si>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</si>
  <si>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</si>
  <si>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</si>
  <si>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</si>
  <si>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</si>
  <si>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</si>
  <si>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</si>
  <si>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2025E</t>
  </si>
  <si>
    <t>2026E</t>
  </si>
  <si>
    <t>Period ending</t>
  </si>
  <si>
    <t>Days in period</t>
  </si>
  <si>
    <t>Income Statement</t>
  </si>
  <si>
    <t>Total revenue</t>
  </si>
  <si>
    <t>Cost of revenue</t>
  </si>
  <si>
    <t>Net income</t>
  </si>
  <si>
    <t>Earnings per share:</t>
  </si>
  <si>
    <t>Basic</t>
  </si>
  <si>
    <t>Diluted</t>
  </si>
  <si>
    <t>Weighted-average common shares outstanding:</t>
  </si>
  <si>
    <t>Cash Flow Statement</t>
  </si>
  <si>
    <t xml:space="preserve">YOY Growth </t>
  </si>
  <si>
    <t>Street-based consensus</t>
  </si>
  <si>
    <t>Cost of revenues</t>
  </si>
  <si>
    <t>% of Sales</t>
  </si>
  <si>
    <t xml:space="preserve">Gross Margin </t>
  </si>
  <si>
    <t xml:space="preserve">Operating Margin </t>
  </si>
  <si>
    <t>% of Operating Income</t>
  </si>
  <si>
    <t xml:space="preserve">Net Margin </t>
  </si>
  <si>
    <t>EBITDA</t>
  </si>
  <si>
    <t xml:space="preserve">EBITDA Margin </t>
  </si>
  <si>
    <t>Change in Net Working Capital</t>
  </si>
  <si>
    <t>% of Incremental Sales</t>
  </si>
  <si>
    <t>Capex</t>
  </si>
  <si>
    <t>Ticker</t>
  </si>
  <si>
    <t>Date</t>
  </si>
  <si>
    <t>Revenue</t>
  </si>
  <si>
    <t>--</t>
  </si>
  <si>
    <t>Enterprise Value</t>
  </si>
  <si>
    <t>Equity Value</t>
  </si>
  <si>
    <t>Diluted Shares</t>
  </si>
  <si>
    <t>1 year return scenarios</t>
  </si>
  <si>
    <t>Action</t>
  </si>
  <si>
    <t>P/E</t>
  </si>
  <si>
    <t>12m Target</t>
  </si>
  <si>
    <t>% return</t>
  </si>
  <si>
    <t>Price</t>
  </si>
  <si>
    <t>Last Updated</t>
  </si>
  <si>
    <t>% yoy</t>
  </si>
  <si>
    <t>Cap Table</t>
  </si>
  <si>
    <t>Current Price</t>
  </si>
  <si>
    <t>% margin</t>
  </si>
  <si>
    <t>Market Cap</t>
  </si>
  <si>
    <t>Total Debt</t>
  </si>
  <si>
    <t>Adjusted EPS</t>
  </si>
  <si>
    <t>Cash</t>
  </si>
  <si>
    <t>Net Debt</t>
  </si>
  <si>
    <t>Street EPS</t>
  </si>
  <si>
    <t>NCI</t>
  </si>
  <si>
    <t>Expected Delta</t>
  </si>
  <si>
    <t>EV/Sales</t>
  </si>
  <si>
    <t>EV/EBITDA</t>
  </si>
  <si>
    <t>Street P/E</t>
  </si>
  <si>
    <t>3 Year Target</t>
  </si>
  <si>
    <t>2026 EPS</t>
  </si>
  <si>
    <t>Target P/E</t>
  </si>
  <si>
    <t>x money multiple</t>
  </si>
  <si>
    <t>BUY</t>
  </si>
  <si>
    <t>% IRR</t>
  </si>
  <si>
    <t>12 Months Base Target</t>
  </si>
  <si>
    <t>2024 EPS</t>
  </si>
  <si>
    <t>EOY Target Price</t>
  </si>
  <si>
    <t>12 Months Risk Case</t>
  </si>
  <si>
    <t>2024 Risk EPS</t>
  </si>
  <si>
    <t>Next 12 Months Risk</t>
  </si>
  <si>
    <t>Currency</t>
  </si>
  <si>
    <t>USD million</t>
  </si>
  <si>
    <t>Trading Multiples</t>
  </si>
  <si>
    <t>Current</t>
  </si>
  <si>
    <t>Share</t>
  </si>
  <si>
    <t>Market</t>
  </si>
  <si>
    <t>Enterprise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</si>
  <si>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</si>
  <si>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</si>
  <si>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</si>
  <si>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</si>
  <si>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</si>
  <si>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</si>
  <si>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</si>
  <si>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</si>
  <si>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Count</t>
  </si>
  <si>
    <t>Cap</t>
  </si>
  <si>
    <t>Value</t>
  </si>
  <si>
    <t>21</t>
  </si>
  <si>
    <t>22</t>
  </si>
  <si>
    <t>23</t>
  </si>
  <si>
    <t>'22</t>
  </si>
  <si>
    <t>'23</t>
  </si>
  <si>
    <t>'21-'22</t>
  </si>
  <si>
    <t>'22-'23</t>
  </si>
  <si>
    <t>‘24</t>
  </si>
  <si>
    <t>’25</t>
  </si>
  <si>
    <t>Mean</t>
  </si>
  <si>
    <t>Median</t>
  </si>
  <si>
    <t>Forward Trading Multiple (FY1)</t>
  </si>
  <si>
    <t>2023 Financial Metric</t>
  </si>
  <si>
    <t>Implied Share Price (forward)</t>
  </si>
  <si>
    <t>Calculating Implied Share Price</t>
  </si>
  <si>
    <t>EPS</t>
  </si>
  <si>
    <t>Debt</t>
  </si>
  <si>
    <t>Shares</t>
  </si>
  <si>
    <t>Minimum</t>
  </si>
  <si>
    <t>Maximum</t>
  </si>
  <si>
    <t>DATABASE</t>
  </si>
  <si>
    <t>% of total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</si>
  <si>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</si>
  <si>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</si>
  <si>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</si>
  <si>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</si>
  <si>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</si>
  <si>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</si>
  <si>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</si>
  <si>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</si>
  <si>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FY 2022</t>
  </si>
  <si>
    <t>Q1 2023</t>
  </si>
  <si>
    <t>Q2 2023</t>
  </si>
  <si>
    <t>Q3 2023</t>
  </si>
  <si>
    <t>Q4 2023</t>
  </si>
  <si>
    <t>FY 2023</t>
  </si>
  <si>
    <t>Q1 2024</t>
  </si>
  <si>
    <t>Q2 2024</t>
  </si>
  <si>
    <t>Changes in working capital:</t>
  </si>
  <si>
    <t>Trade and other receivables</t>
  </si>
  <si>
    <t>Inventories</t>
  </si>
  <si>
    <t>Trade and other payables</t>
  </si>
  <si>
    <t>Payments of employee benefits</t>
  </si>
  <si>
    <t>Salaries and payroll taxes</t>
  </si>
  <si>
    <t>Other taxes and royalties</t>
  </si>
  <si>
    <t>Provisions</t>
  </si>
  <si>
    <t>Income tax payment</t>
  </si>
  <si>
    <t>Cash flows from investing activities:</t>
  </si>
  <si>
    <t>Payments for acquisitions of property, plant and equipment</t>
  </si>
  <si>
    <t>`</t>
  </si>
  <si>
    <t>VIST</t>
  </si>
  <si>
    <t>25E</t>
  </si>
  <si>
    <t>Brent Oil price</t>
  </si>
  <si>
    <t>Productivity - BOEs/d</t>
  </si>
  <si>
    <t>26E</t>
  </si>
  <si>
    <t>23A</t>
  </si>
  <si>
    <t>22A</t>
  </si>
  <si>
    <t>21A</t>
  </si>
  <si>
    <t>20A</t>
  </si>
  <si>
    <t>VIST-US</t>
  </si>
  <si>
    <t>This sheet contains FactSet XML data for use with this workbook's =FDS codes.  Modifying the worksheet's contents may damage the workbook's =FDS functionality.</t>
  </si>
  <si>
    <t>FANG-US</t>
  </si>
  <si>
    <t>EOG-US</t>
  </si>
  <si>
    <t>PRIO3-BR</t>
  </si>
  <si>
    <t>RECV3-BR</t>
  </si>
  <si>
    <t>GPRK-US</t>
  </si>
  <si>
    <t>PETR4-BR</t>
  </si>
  <si>
    <t>HES-US</t>
  </si>
  <si>
    <t>ECOPETROL-CO</t>
  </si>
  <si>
    <t>YPFD-AR</t>
  </si>
  <si>
    <t>PAMP-AR</t>
  </si>
  <si>
    <t>A</t>
  </si>
  <si>
    <t>Neuquina Transferred</t>
  </si>
  <si>
    <t>Interest</t>
  </si>
  <si>
    <t>Average net oil production for the Q2 2024 (Mbbl/d)(5)</t>
  </si>
  <si>
    <t>Operator</t>
  </si>
  <si>
    <t>Vista</t>
  </si>
  <si>
    <t>Shell</t>
  </si>
  <si>
    <t>Aconcagua</t>
  </si>
  <si>
    <t>-</t>
  </si>
  <si>
    <t>2023 Net Reserves (MMboe)</t>
  </si>
  <si>
    <t>Pan American Energy</t>
  </si>
  <si>
    <t>VIST  08-01-2024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</si>
</sst>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_(#,##0.0_);_(\(#,##0.0\);_(&quot;-&quot;_);_(@_)"/>
    <numFmt numFmtId="165" formatCode="0.0"/>
    <numFmt numFmtId="166" formatCode="0.0%"/>
    <numFmt numFmtId="167" formatCode="#,##0.0_);\(#,##0.0\)"/>
    <numFmt numFmtId="168" formatCode="m/d/yy;@"/>
    <numFmt numFmtId="169" formatCode="0%;\(0%\)"/>
    <numFmt numFmtId="170" formatCode="#,##0.0%_);\(#,##0.0%\)"/>
    <numFmt numFmtId="171" formatCode="0000\A"/>
    <numFmt numFmtId="172" formatCode="0000\E"/>
    <numFmt numFmtId="173" formatCode="#,##0.0\x"/>
    <numFmt numFmtId="174" formatCode="#,##0.0%;\(#,##0.0%\);&quot;0.0%&quot;;@"/>
    <numFmt numFmtId="175" formatCode="_(* #,##0_);_(* \(#,##0\);_(* &quot;-&quot;??_);_(@_)"/>
    <numFmt numFmtId="176" formatCode="#,##0%;\(#,##0%\);&quot;0.0%&quot;;@"/>
    <numFmt numFmtId="177" formatCode="&quot;$&quot;#,##0.0_);\(&quot;$&quot;#,##0.0\)"/>
    <numFmt numFmtId="178" formatCode="0.0\x;\(0.0\x\);&quot;–&quot;"/>
    <numFmt numFmtId="179" formatCode="0.0\x"/>
    <numFmt numFmtId="180" formatCode="_([$$-409]* #,##0.00_);_([$$-409]* \(#,##0.00\);_([$$-409]* &quot;-&quot;??_);_(@_)"/>
    <numFmt numFmtId="181" formatCode="#,##0.0"/>
  </numFmts>
  <fonts count="5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00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sz val="10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2" fillId="2" borderId="0"/>
    <xf numFmtId="0" fontId="1" fillId="2" borderId="0"/>
    <xf numFmtId="0" fontId="2" fillId="2" borderId="0"/>
    <xf numFmtId="9" fontId="1" fillId="2" borderId="0" applyFont="0" applyFill="0" applyBorder="0" applyAlignment="0" applyProtection="0"/>
    <xf numFmtId="0" fontId="32" fillId="2" borderId="0"/>
    <xf numFmtId="44" fontId="32" fillId="2" borderId="0" applyFont="0" applyFill="0" applyBorder="0" applyAlignment="0" applyProtection="0"/>
    <xf numFmtId="9" fontId="32" fillId="2" borderId="0" applyFont="0" applyFill="0" applyBorder="0" applyAlignment="0" applyProtection="0"/>
    <xf numFmtId="0" fontId="33" fillId="2" borderId="0"/>
    <xf numFmtId="9" fontId="33" fillId="2" borderId="0" applyFont="0" applyFill="0" applyBorder="0" applyAlignment="0" applyProtection="0"/>
    <xf numFmtId="0" fontId="1" fillId="2" borderId="0"/>
  </cellStyleXfs>
  <cellXfs count="40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164" fontId="0" fillId="2" borderId="0" xfId="0" applyNumberFormat="1" applyFill="1"/>
    <xf numFmtId="0" fontId="3" fillId="2" borderId="0" xfId="0" applyFont="1" applyFill="1"/>
    <xf numFmtId="0" fontId="3" fillId="0" borderId="0" xfId="0" applyFont="1"/>
    <xf numFmtId="2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0" fontId="3" fillId="2" borderId="0" xfId="0" applyFont="1" applyFill="1" applyAlignment="1">
      <alignment wrapText="1"/>
    </xf>
    <xf numFmtId="166" fontId="0" fillId="0" borderId="0" xfId="1" applyNumberFormat="1" applyFont="1"/>
    <xf numFmtId="10" fontId="0" fillId="0" borderId="0" xfId="1" applyNumberFormat="1" applyFont="1"/>
    <xf numFmtId="164" fontId="3" fillId="2" borderId="0" xfId="0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164" fontId="0" fillId="0" borderId="0" xfId="0" applyNumberFormat="1"/>
    <xf numFmtId="0" fontId="6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2" fillId="2" borderId="0" xfId="2"/>
    <xf numFmtId="164" fontId="2" fillId="2" borderId="0" xfId="2" applyNumberFormat="1"/>
    <xf numFmtId="0" fontId="2" fillId="2" borderId="0" xfId="2" applyAlignment="1">
      <alignment wrapText="1"/>
    </xf>
    <xf numFmtId="0" fontId="3" fillId="2" borderId="0" xfId="2" applyFont="1"/>
    <xf numFmtId="164" fontId="3" fillId="2" borderId="0" xfId="2" applyNumberFormat="1" applyFont="1"/>
    <xf numFmtId="0" fontId="3" fillId="2" borderId="0" xfId="2" applyFont="1" applyAlignment="1">
      <alignment wrapText="1"/>
    </xf>
    <xf numFmtId="0" fontId="0" fillId="2" borderId="0" xfId="2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166" fontId="3" fillId="2" borderId="0" xfId="1" applyNumberFormat="1" applyFont="1" applyFill="1" applyAlignment="1">
      <alignment horizontal="right"/>
    </xf>
    <xf numFmtId="9" fontId="0" fillId="2" borderId="0" xfId="0" applyNumberFormat="1" applyFill="1" applyAlignment="1">
      <alignment horizontal="right"/>
    </xf>
    <xf numFmtId="9" fontId="0" fillId="2" borderId="0" xfId="1" applyFont="1" applyFill="1" applyAlignment="1">
      <alignment horizontal="right"/>
    </xf>
    <xf numFmtId="165" fontId="3" fillId="2" borderId="0" xfId="0" applyNumberFormat="1" applyFont="1" applyFill="1" applyAlignment="1">
      <alignment horizontal="right" wrapText="1"/>
    </xf>
    <xf numFmtId="9" fontId="3" fillId="2" borderId="0" xfId="0" applyNumberFormat="1" applyFont="1" applyFill="1" applyAlignment="1">
      <alignment horizontal="right" wrapText="1"/>
    </xf>
    <xf numFmtId="167" fontId="2" fillId="2" borderId="0" xfId="2" applyNumberFormat="1"/>
    <xf numFmtId="0" fontId="1" fillId="2" borderId="0" xfId="3"/>
    <xf numFmtId="165" fontId="2" fillId="2" borderId="0" xfId="2" applyNumberFormat="1"/>
    <xf numFmtId="0" fontId="1" fillId="2" borderId="0" xfId="3" applyAlignment="1">
      <alignment wrapText="1"/>
    </xf>
    <xf numFmtId="0" fontId="3" fillId="2" borderId="1" xfId="2" applyFont="1" applyBorder="1"/>
    <xf numFmtId="0" fontId="3" fillId="2" borderId="2" xfId="2" applyFont="1" applyBorder="1"/>
    <xf numFmtId="0" fontId="3" fillId="2" borderId="3" xfId="2" applyFont="1" applyBorder="1"/>
    <xf numFmtId="0" fontId="2" fillId="2" borderId="4" xfId="2" applyBorder="1"/>
    <xf numFmtId="0" fontId="2" fillId="2" borderId="5" xfId="2" applyBorder="1"/>
    <xf numFmtId="0" fontId="2" fillId="2" borderId="1" xfId="2" applyBorder="1"/>
    <xf numFmtId="0" fontId="2" fillId="2" borderId="2" xfId="2" applyBorder="1"/>
    <xf numFmtId="0" fontId="2" fillId="2" borderId="3" xfId="2" applyBorder="1"/>
    <xf numFmtId="0" fontId="3" fillId="2" borderId="4" xfId="2" applyFont="1" applyBorder="1"/>
    <xf numFmtId="0" fontId="3" fillId="2" borderId="5" xfId="2" applyFont="1" applyBorder="1"/>
    <xf numFmtId="0" fontId="1" fillId="2" borderId="1" xfId="3" applyBorder="1"/>
    <xf numFmtId="0" fontId="1" fillId="2" borderId="3" xfId="3" applyBorder="1"/>
    <xf numFmtId="0" fontId="1" fillId="2" borderId="5" xfId="3" applyBorder="1"/>
    <xf numFmtId="0" fontId="1" fillId="2" borderId="4" xfId="3" applyBorder="1"/>
    <xf numFmtId="0" fontId="1" fillId="2" borderId="6" xfId="3" applyBorder="1"/>
    <xf numFmtId="0" fontId="1" fillId="2" borderId="7" xfId="3" applyBorder="1"/>
    <xf numFmtId="0" fontId="2" fillId="2" borderId="4" xfId="2" applyBorder="1" applyAlignment="1">
      <alignment wrapText="1"/>
    </xf>
    <xf numFmtId="0" fontId="2" fillId="2" borderId="5" xfId="2" applyBorder="1" applyAlignment="1">
      <alignment wrapText="1"/>
    </xf>
    <xf numFmtId="0" fontId="2" fillId="2" borderId="0" xfId="2" applyAlignment="1">
      <alignment horizontal="right"/>
    </xf>
    <xf numFmtId="0" fontId="11" fillId="2" borderId="0" xfId="2" applyFont="1" applyAlignment="1">
      <alignment horizontal="left"/>
    </xf>
    <xf numFmtId="0" fontId="10" fillId="2" borderId="0" xfId="3" applyFont="1"/>
    <xf numFmtId="0" fontId="12" fillId="2" borderId="0" xfId="3" applyFont="1"/>
    <xf numFmtId="0" fontId="13" fillId="2" borderId="0" xfId="3" applyFont="1"/>
    <xf numFmtId="7" fontId="14" fillId="2" borderId="0" xfId="3" applyNumberFormat="1" applyFont="1" applyAlignment="1">
      <alignment horizontal="center"/>
    </xf>
    <xf numFmtId="0" fontId="10" fillId="4" borderId="9" xfId="3" applyFont="1" applyFill="1" applyBorder="1" applyAlignment="1">
      <alignment horizontal="center"/>
    </xf>
    <xf numFmtId="168" fontId="1" fillId="2" borderId="0" xfId="3" applyNumberFormat="1"/>
    <xf numFmtId="168" fontId="1" fillId="2" borderId="0" xfId="3" applyNumberFormat="1" applyAlignment="1">
      <alignment horizontal="left" indent="1"/>
    </xf>
    <xf numFmtId="168" fontId="1" fillId="2" borderId="0" xfId="3" applyNumberFormat="1" applyAlignment="1">
      <alignment horizontal="center"/>
    </xf>
    <xf numFmtId="0" fontId="1" fillId="2" borderId="0" xfId="3" applyAlignment="1">
      <alignment horizontal="left" indent="1"/>
    </xf>
    <xf numFmtId="37" fontId="1" fillId="2" borderId="0" xfId="3" applyNumberFormat="1" applyAlignment="1">
      <alignment horizontal="center"/>
    </xf>
    <xf numFmtId="0" fontId="9" fillId="5" borderId="0" xfId="3" applyFont="1" applyFill="1"/>
    <xf numFmtId="0" fontId="1" fillId="5" borderId="0" xfId="3" applyFill="1"/>
    <xf numFmtId="0" fontId="16" fillId="2" borderId="0" xfId="3" applyFont="1"/>
    <xf numFmtId="0" fontId="10" fillId="2" borderId="0" xfId="3" applyFont="1" applyAlignment="1">
      <alignment horizontal="left" indent="1"/>
    </xf>
    <xf numFmtId="37" fontId="10" fillId="2" borderId="0" xfId="3" applyNumberFormat="1" applyFont="1" applyAlignment="1">
      <alignment horizontal="center"/>
    </xf>
    <xf numFmtId="0" fontId="1" fillId="3" borderId="0" xfId="3" applyFill="1"/>
    <xf numFmtId="7" fontId="14" fillId="6" borderId="0" xfId="3" applyNumberFormat="1" applyFont="1" applyFill="1" applyAlignment="1">
      <alignment horizontal="center"/>
    </xf>
    <xf numFmtId="0" fontId="9" fillId="7" borderId="9" xfId="3" applyFont="1" applyFill="1" applyBorder="1" applyAlignment="1">
      <alignment horizontal="center"/>
    </xf>
    <xf numFmtId="168" fontId="1" fillId="6" borderId="0" xfId="3" applyNumberFormat="1" applyFill="1" applyAlignment="1">
      <alignment horizontal="center"/>
    </xf>
    <xf numFmtId="168" fontId="15" fillId="6" borderId="0" xfId="3" applyNumberFormat="1" applyFont="1" applyFill="1" applyAlignment="1">
      <alignment horizontal="center"/>
    </xf>
    <xf numFmtId="168" fontId="16" fillId="6" borderId="0" xfId="3" applyNumberFormat="1" applyFont="1" applyFill="1" applyAlignment="1">
      <alignment horizontal="center"/>
    </xf>
    <xf numFmtId="168" fontId="17" fillId="6" borderId="0" xfId="3" applyNumberFormat="1" applyFont="1" applyFill="1" applyAlignment="1">
      <alignment horizontal="center"/>
    </xf>
    <xf numFmtId="37" fontId="1" fillId="6" borderId="0" xfId="3" applyNumberFormat="1" applyFill="1" applyAlignment="1">
      <alignment horizontal="center"/>
    </xf>
    <xf numFmtId="37" fontId="15" fillId="6" borderId="0" xfId="3" applyNumberFormat="1" applyFont="1" applyFill="1" applyAlignment="1">
      <alignment horizontal="center"/>
    </xf>
    <xf numFmtId="37" fontId="16" fillId="6" borderId="0" xfId="3" applyNumberFormat="1" applyFont="1" applyFill="1" applyAlignment="1">
      <alignment horizontal="center"/>
    </xf>
    <xf numFmtId="37" fontId="17" fillId="6" borderId="0" xfId="3" applyNumberFormat="1" applyFont="1" applyFill="1" applyAlignment="1">
      <alignment horizontal="center"/>
    </xf>
    <xf numFmtId="37" fontId="18" fillId="6" borderId="0" xfId="3" applyNumberFormat="1" applyFont="1" applyFill="1" applyAlignment="1">
      <alignment horizontal="center"/>
    </xf>
    <xf numFmtId="0" fontId="19" fillId="2" borderId="0" xfId="4" applyFont="1" applyAlignment="1">
      <alignment horizontal="left" indent="1"/>
    </xf>
    <xf numFmtId="37" fontId="19" fillId="6" borderId="0" xfId="3" quotePrefix="1" applyNumberFormat="1" applyFont="1" applyFill="1" applyAlignment="1">
      <alignment horizontal="center"/>
    </xf>
    <xf numFmtId="10" fontId="19" fillId="6" borderId="0" xfId="5" applyNumberFormat="1" applyFont="1" applyFill="1" applyAlignment="1">
      <alignment horizontal="center"/>
    </xf>
    <xf numFmtId="10" fontId="17" fillId="6" borderId="0" xfId="5" applyNumberFormat="1" applyFont="1" applyFill="1" applyAlignment="1">
      <alignment horizontal="center"/>
    </xf>
    <xf numFmtId="10" fontId="19" fillId="6" borderId="0" xfId="5" quotePrefix="1" applyNumberFormat="1" applyFont="1" applyFill="1" applyAlignment="1">
      <alignment horizontal="center"/>
    </xf>
    <xf numFmtId="0" fontId="10" fillId="2" borderId="10" xfId="3" applyFont="1" applyBorder="1"/>
    <xf numFmtId="0" fontId="10" fillId="2" borderId="10" xfId="3" applyFont="1" applyBorder="1" applyAlignment="1">
      <alignment horizontal="left" indent="1"/>
    </xf>
    <xf numFmtId="37" fontId="10" fillId="2" borderId="10" xfId="3" applyNumberFormat="1" applyFont="1" applyBorder="1" applyAlignment="1">
      <alignment horizontal="center"/>
    </xf>
    <xf numFmtId="37" fontId="10" fillId="6" borderId="10" xfId="3" applyNumberFormat="1" applyFont="1" applyFill="1" applyBorder="1" applyAlignment="1">
      <alignment horizontal="center"/>
    </xf>
    <xf numFmtId="37" fontId="12" fillId="6" borderId="10" xfId="3" applyNumberFormat="1" applyFont="1" applyFill="1" applyBorder="1" applyAlignment="1">
      <alignment horizontal="center"/>
    </xf>
    <xf numFmtId="37" fontId="18" fillId="6" borderId="10" xfId="3" applyNumberFormat="1" applyFont="1" applyFill="1" applyBorder="1" applyAlignment="1">
      <alignment horizontal="center"/>
    </xf>
    <xf numFmtId="39" fontId="1" fillId="6" borderId="0" xfId="3" quotePrefix="1" applyNumberFormat="1" applyFill="1" applyAlignment="1">
      <alignment horizontal="center"/>
    </xf>
    <xf numFmtId="10" fontId="0" fillId="6" borderId="0" xfId="5" applyNumberFormat="1" applyFont="1" applyFill="1" applyAlignment="1">
      <alignment horizontal="center"/>
    </xf>
    <xf numFmtId="39" fontId="1" fillId="6" borderId="0" xfId="3" applyNumberFormat="1" applyFill="1" applyAlignment="1">
      <alignment horizontal="center"/>
    </xf>
    <xf numFmtId="0" fontId="20" fillId="2" borderId="0" xfId="4" applyFont="1" applyAlignment="1">
      <alignment horizontal="left" indent="1"/>
    </xf>
    <xf numFmtId="39" fontId="1" fillId="6" borderId="0" xfId="3" applyNumberFormat="1" applyFill="1"/>
    <xf numFmtId="39" fontId="21" fillId="6" borderId="0" xfId="3" applyNumberFormat="1" applyFont="1" applyFill="1" applyAlignment="1">
      <alignment horizontal="center"/>
    </xf>
    <xf numFmtId="0" fontId="10" fillId="2" borderId="0" xfId="3" applyFont="1" applyAlignment="1">
      <alignment wrapText="1"/>
    </xf>
    <xf numFmtId="0" fontId="23" fillId="2" borderId="0" xfId="3" applyFont="1" applyAlignment="1">
      <alignment horizontal="left" indent="1"/>
    </xf>
    <xf numFmtId="0" fontId="23" fillId="2" borderId="0" xfId="3" applyFont="1"/>
    <xf numFmtId="37" fontId="23" fillId="2" borderId="0" xfId="3" applyNumberFormat="1" applyFont="1" applyAlignment="1">
      <alignment horizontal="center"/>
    </xf>
    <xf numFmtId="10" fontId="22" fillId="6" borderId="0" xfId="5" quotePrefix="1" applyNumberFormat="1" applyFont="1" applyFill="1" applyAlignment="1">
      <alignment horizontal="center"/>
    </xf>
    <xf numFmtId="10" fontId="23" fillId="6" borderId="0" xfId="5" applyNumberFormat="1" applyFont="1" applyFill="1" applyAlignment="1">
      <alignment horizontal="center"/>
    </xf>
    <xf numFmtId="0" fontId="24" fillId="2" borderId="0" xfId="4" applyFont="1" applyAlignment="1">
      <alignment horizontal="left" indent="1"/>
    </xf>
    <xf numFmtId="10" fontId="19" fillId="6" borderId="0" xfId="5" applyNumberFormat="1" applyFont="1" applyFill="1" applyBorder="1" applyAlignment="1">
      <alignment horizontal="center"/>
    </xf>
    <xf numFmtId="1" fontId="16" fillId="6" borderId="0" xfId="5" applyNumberFormat="1" applyFont="1" applyFill="1" applyAlignment="1">
      <alignment horizontal="center"/>
    </xf>
    <xf numFmtId="0" fontId="25" fillId="2" borderId="0" xfId="3" applyFont="1" applyAlignment="1">
      <alignment horizontal="left" indent="1"/>
    </xf>
    <xf numFmtId="0" fontId="25" fillId="2" borderId="0" xfId="3" applyFont="1"/>
    <xf numFmtId="37" fontId="25" fillId="2" borderId="0" xfId="3" applyNumberFormat="1" applyFont="1" applyAlignment="1">
      <alignment horizontal="center"/>
    </xf>
    <xf numFmtId="10" fontId="26" fillId="6" borderId="0" xfId="5" applyNumberFormat="1" applyFont="1" applyFill="1" applyAlignment="1">
      <alignment horizontal="center"/>
    </xf>
    <xf numFmtId="0" fontId="26" fillId="2" borderId="0" xfId="4" applyFont="1" applyAlignment="1">
      <alignment horizontal="left" indent="1"/>
    </xf>
    <xf numFmtId="10" fontId="22" fillId="6" borderId="0" xfId="5" applyNumberFormat="1" applyFont="1" applyFill="1" applyAlignment="1">
      <alignment horizontal="center"/>
    </xf>
    <xf numFmtId="39" fontId="17" fillId="6" borderId="0" xfId="3" applyNumberFormat="1" applyFont="1" applyFill="1" applyAlignment="1">
      <alignment horizontal="center"/>
    </xf>
    <xf numFmtId="0" fontId="10" fillId="9" borderId="0" xfId="3" applyFont="1" applyFill="1"/>
    <xf numFmtId="37" fontId="1" fillId="5" borderId="0" xfId="3" applyNumberFormat="1" applyFill="1" applyAlignment="1">
      <alignment horizontal="center"/>
    </xf>
    <xf numFmtId="37" fontId="17" fillId="5" borderId="0" xfId="3" applyNumberFormat="1" applyFont="1" applyFill="1" applyAlignment="1">
      <alignment horizontal="center"/>
    </xf>
    <xf numFmtId="0" fontId="1" fillId="6" borderId="0" xfId="3" applyFill="1"/>
    <xf numFmtId="0" fontId="1" fillId="6" borderId="0" xfId="3" quotePrefix="1" applyFill="1" applyAlignment="1">
      <alignment horizontal="right"/>
    </xf>
    <xf numFmtId="10" fontId="0" fillId="6" borderId="0" xfId="5" applyNumberFormat="1" applyFont="1" applyFill="1"/>
    <xf numFmtId="2" fontId="1" fillId="6" borderId="0" xfId="3" applyNumberFormat="1" applyFill="1"/>
    <xf numFmtId="0" fontId="10" fillId="6" borderId="0" xfId="3" applyFont="1" applyFill="1"/>
    <xf numFmtId="0" fontId="27" fillId="8" borderId="0" xfId="3" applyFont="1" applyFill="1" applyAlignment="1">
      <alignment horizontal="left" vertical="center" wrapText="1"/>
    </xf>
    <xf numFmtId="37" fontId="1" fillId="6" borderId="0" xfId="3" applyNumberFormat="1" applyFill="1"/>
    <xf numFmtId="0" fontId="28" fillId="2" borderId="0" xfId="3" applyFont="1"/>
    <xf numFmtId="166" fontId="0" fillId="6" borderId="0" xfId="5" applyNumberFormat="1" applyFont="1" applyFill="1"/>
    <xf numFmtId="0" fontId="1" fillId="8" borderId="0" xfId="3" applyFill="1"/>
    <xf numFmtId="0" fontId="9" fillId="2" borderId="0" xfId="3" applyFont="1"/>
    <xf numFmtId="0" fontId="16" fillId="2" borderId="0" xfId="3" applyFont="1" applyAlignment="1">
      <alignment horizontal="center"/>
    </xf>
    <xf numFmtId="0" fontId="18" fillId="12" borderId="0" xfId="3" applyFont="1" applyFill="1" applyAlignment="1">
      <alignment horizontal="right"/>
    </xf>
    <xf numFmtId="170" fontId="1" fillId="2" borderId="0" xfId="3" applyNumberFormat="1"/>
    <xf numFmtId="0" fontId="9" fillId="11" borderId="0" xfId="3" applyFont="1" applyFill="1" applyAlignment="1">
      <alignment horizontal="center"/>
    </xf>
    <xf numFmtId="171" fontId="12" fillId="13" borderId="0" xfId="3" applyNumberFormat="1" applyFont="1" applyFill="1" applyAlignment="1">
      <alignment horizontal="center"/>
    </xf>
    <xf numFmtId="172" fontId="12" fillId="13" borderId="0" xfId="3" applyNumberFormat="1" applyFont="1" applyFill="1" applyAlignment="1">
      <alignment horizontal="center"/>
    </xf>
    <xf numFmtId="172" fontId="12" fillId="2" borderId="0" xfId="3" applyNumberFormat="1" applyFont="1" applyAlignment="1">
      <alignment horizontal="center"/>
    </xf>
    <xf numFmtId="0" fontId="15" fillId="2" borderId="0" xfId="3" applyFont="1" applyAlignment="1">
      <alignment horizontal="center"/>
    </xf>
    <xf numFmtId="0" fontId="12" fillId="13" borderId="0" xfId="3" applyFont="1" applyFill="1" applyAlignment="1">
      <alignment horizontal="center"/>
    </xf>
    <xf numFmtId="14" fontId="18" fillId="12" borderId="0" xfId="3" applyNumberFormat="1" applyFont="1" applyFill="1" applyAlignment="1">
      <alignment horizontal="right"/>
    </xf>
    <xf numFmtId="5" fontId="30" fillId="2" borderId="0" xfId="3" applyNumberFormat="1" applyFont="1" applyAlignment="1">
      <alignment horizontal="right"/>
    </xf>
    <xf numFmtId="5" fontId="13" fillId="2" borderId="0" xfId="3" applyNumberFormat="1" applyFont="1" applyAlignment="1">
      <alignment horizontal="right"/>
    </xf>
    <xf numFmtId="7" fontId="13" fillId="12" borderId="0" xfId="3" applyNumberFormat="1" applyFont="1" applyFill="1" applyAlignment="1">
      <alignment horizontal="right"/>
    </xf>
    <xf numFmtId="173" fontId="18" fillId="12" borderId="0" xfId="3" applyNumberFormat="1" applyFont="1" applyFill="1" applyAlignment="1">
      <alignment horizontal="right"/>
    </xf>
    <xf numFmtId="7" fontId="30" fillId="2" borderId="0" xfId="3" applyNumberFormat="1" applyFont="1" applyAlignment="1">
      <alignment horizontal="right"/>
    </xf>
    <xf numFmtId="170" fontId="30" fillId="12" borderId="0" xfId="3" applyNumberFormat="1" applyFont="1" applyFill="1" applyAlignment="1">
      <alignment horizontal="right"/>
    </xf>
    <xf numFmtId="170" fontId="1" fillId="2" borderId="0" xfId="3" applyNumberFormat="1" applyAlignment="1">
      <alignment horizontal="right"/>
    </xf>
    <xf numFmtId="174" fontId="16" fillId="2" borderId="0" xfId="3" applyNumberFormat="1" applyFont="1" applyAlignment="1">
      <alignment horizontal="right"/>
    </xf>
    <xf numFmtId="174" fontId="15" fillId="2" borderId="0" xfId="3" applyNumberFormat="1" applyFont="1" applyAlignment="1">
      <alignment horizontal="right"/>
    </xf>
    <xf numFmtId="175" fontId="30" fillId="2" borderId="0" xfId="3" applyNumberFormat="1" applyFont="1" applyAlignment="1">
      <alignment horizontal="right"/>
    </xf>
    <xf numFmtId="7" fontId="15" fillId="2" borderId="0" xfId="3" applyNumberFormat="1" applyFont="1" applyAlignment="1">
      <alignment horizontal="center"/>
    </xf>
    <xf numFmtId="0" fontId="15" fillId="2" borderId="0" xfId="3" applyFont="1"/>
    <xf numFmtId="0" fontId="10" fillId="2" borderId="13" xfId="3" applyFont="1" applyBorder="1"/>
    <xf numFmtId="44" fontId="18" fillId="12" borderId="14" xfId="3" applyNumberFormat="1" applyFont="1" applyFill="1" applyBorder="1" applyAlignment="1">
      <alignment horizontal="right"/>
    </xf>
    <xf numFmtId="0" fontId="1" fillId="2" borderId="13" xfId="3" applyBorder="1"/>
    <xf numFmtId="5" fontId="10" fillId="2" borderId="14" xfId="3" applyNumberFormat="1" applyFont="1" applyBorder="1" applyAlignment="1">
      <alignment horizontal="right"/>
    </xf>
    <xf numFmtId="5" fontId="31" fillId="2" borderId="14" xfId="3" applyNumberFormat="1" applyFont="1" applyBorder="1" applyAlignment="1">
      <alignment horizontal="right"/>
    </xf>
    <xf numFmtId="0" fontId="10" fillId="12" borderId="7" xfId="3" applyFont="1" applyFill="1" applyBorder="1"/>
    <xf numFmtId="7" fontId="30" fillId="12" borderId="8" xfId="3" applyNumberFormat="1" applyFont="1" applyFill="1" applyBorder="1" applyAlignment="1">
      <alignment horizontal="right"/>
    </xf>
    <xf numFmtId="7" fontId="13" fillId="12" borderId="8" xfId="3" applyNumberFormat="1" applyFont="1" applyFill="1" applyBorder="1" applyAlignment="1">
      <alignment horizontal="right"/>
    </xf>
    <xf numFmtId="7" fontId="13" fillId="12" borderId="6" xfId="3" applyNumberFormat="1" applyFont="1" applyFill="1" applyBorder="1" applyAlignment="1">
      <alignment horizontal="right"/>
    </xf>
    <xf numFmtId="7" fontId="13" fillId="2" borderId="0" xfId="3" applyNumberFormat="1" applyFont="1" applyAlignment="1">
      <alignment horizontal="right"/>
    </xf>
    <xf numFmtId="0" fontId="1" fillId="12" borderId="3" xfId="3" applyFill="1" applyBorder="1" applyAlignment="1">
      <alignment horizontal="left" indent="1"/>
    </xf>
    <xf numFmtId="174" fontId="16" fillId="12" borderId="2" xfId="3" applyNumberFormat="1" applyFont="1" applyFill="1" applyBorder="1" applyAlignment="1">
      <alignment horizontal="right"/>
    </xf>
    <xf numFmtId="176" fontId="15" fillId="12" borderId="2" xfId="3" applyNumberFormat="1" applyFont="1" applyFill="1" applyBorder="1" applyAlignment="1">
      <alignment horizontal="right"/>
    </xf>
    <xf numFmtId="174" fontId="15" fillId="12" borderId="2" xfId="3" applyNumberFormat="1" applyFont="1" applyFill="1" applyBorder="1" applyAlignment="1">
      <alignment horizontal="right"/>
    </xf>
    <xf numFmtId="174" fontId="15" fillId="12" borderId="1" xfId="3" applyNumberFormat="1" applyFont="1" applyFill="1" applyBorder="1" applyAlignment="1">
      <alignment horizontal="right"/>
    </xf>
    <xf numFmtId="4" fontId="10" fillId="2" borderId="0" xfId="3" applyNumberFormat="1" applyFont="1"/>
    <xf numFmtId="0" fontId="10" fillId="2" borderId="15" xfId="3" applyFont="1" applyBorder="1"/>
    <xf numFmtId="5" fontId="10" fillId="2" borderId="16" xfId="3" applyNumberFormat="1" applyFont="1" applyBorder="1" applyAlignment="1">
      <alignment horizontal="right"/>
    </xf>
    <xf numFmtId="0" fontId="10" fillId="12" borderId="9" xfId="3" applyFont="1" applyFill="1" applyBorder="1"/>
    <xf numFmtId="0" fontId="10" fillId="12" borderId="10" xfId="3" applyFont="1" applyFill="1" applyBorder="1"/>
    <xf numFmtId="170" fontId="10" fillId="12" borderId="10" xfId="3" applyNumberFormat="1" applyFont="1" applyFill="1" applyBorder="1"/>
    <xf numFmtId="170" fontId="10" fillId="12" borderId="10" xfId="3" applyNumberFormat="1" applyFont="1" applyFill="1" applyBorder="1" applyAlignment="1">
      <alignment horizontal="right"/>
    </xf>
    <xf numFmtId="170" fontId="10" fillId="12" borderId="12" xfId="3" applyNumberFormat="1" applyFont="1" applyFill="1" applyBorder="1" applyAlignment="1">
      <alignment horizontal="right"/>
    </xf>
    <xf numFmtId="170" fontId="10" fillId="2" borderId="0" xfId="3" applyNumberFormat="1" applyFont="1" applyAlignment="1">
      <alignment horizontal="right"/>
    </xf>
    <xf numFmtId="177" fontId="1" fillId="2" borderId="0" xfId="3" applyNumberFormat="1"/>
    <xf numFmtId="178" fontId="10" fillId="2" borderId="0" xfId="3" applyNumberFormat="1" applyFont="1" applyAlignment="1">
      <alignment horizontal="right"/>
    </xf>
    <xf numFmtId="171" fontId="10" fillId="13" borderId="0" xfId="3" applyNumberFormat="1" applyFont="1" applyFill="1" applyAlignment="1">
      <alignment horizontal="center"/>
    </xf>
    <xf numFmtId="171" fontId="10" fillId="2" borderId="0" xfId="3" applyNumberFormat="1" applyFont="1" applyAlignment="1">
      <alignment horizontal="center"/>
    </xf>
    <xf numFmtId="0" fontId="10" fillId="2" borderId="7" xfId="3" applyFont="1" applyBorder="1" applyAlignment="1">
      <alignment horizontal="left"/>
    </xf>
    <xf numFmtId="173" fontId="30" fillId="2" borderId="8" xfId="3" applyNumberFormat="1" applyFont="1" applyBorder="1"/>
    <xf numFmtId="173" fontId="30" fillId="12" borderId="8" xfId="3" applyNumberFormat="1" applyFont="1" applyFill="1" applyBorder="1"/>
    <xf numFmtId="173" fontId="30" fillId="12" borderId="6" xfId="3" applyNumberFormat="1" applyFont="1" applyFill="1" applyBorder="1"/>
    <xf numFmtId="173" fontId="30" fillId="2" borderId="0" xfId="3" applyNumberFormat="1" applyFont="1"/>
    <xf numFmtId="0" fontId="10" fillId="2" borderId="5" xfId="3" applyFont="1" applyBorder="1" applyAlignment="1">
      <alignment horizontal="left"/>
    </xf>
    <xf numFmtId="173" fontId="30" fillId="12" borderId="0" xfId="3" applyNumberFormat="1" applyFont="1" applyFill="1"/>
    <xf numFmtId="173" fontId="30" fillId="12" borderId="4" xfId="3" applyNumberFormat="1" applyFont="1" applyFill="1" applyBorder="1"/>
    <xf numFmtId="0" fontId="10" fillId="2" borderId="3" xfId="3" applyFont="1" applyBorder="1" applyAlignment="1">
      <alignment horizontal="left"/>
    </xf>
    <xf numFmtId="173" fontId="30" fillId="2" borderId="2" xfId="3" applyNumberFormat="1" applyFont="1" applyBorder="1"/>
    <xf numFmtId="173" fontId="30" fillId="12" borderId="2" xfId="3" applyNumberFormat="1" applyFont="1" applyFill="1" applyBorder="1"/>
    <xf numFmtId="173" fontId="30" fillId="12" borderId="1" xfId="3" applyNumberFormat="1" applyFont="1" applyFill="1" applyBorder="1"/>
    <xf numFmtId="0" fontId="1" fillId="2" borderId="0" xfId="3" applyAlignment="1">
      <alignment vertical="center" wrapText="1"/>
    </xf>
    <xf numFmtId="7" fontId="31" fillId="2" borderId="0" xfId="3" applyNumberFormat="1" applyFont="1"/>
    <xf numFmtId="173" fontId="18" fillId="12" borderId="0" xfId="3" applyNumberFormat="1" applyFont="1" applyFill="1"/>
    <xf numFmtId="7" fontId="10" fillId="2" borderId="0" xfId="3" applyNumberFormat="1" applyFont="1"/>
    <xf numFmtId="0" fontId="10" fillId="12" borderId="7" xfId="3" applyFont="1" applyFill="1" applyBorder="1" applyAlignment="1">
      <alignment horizontal="left" indent="1"/>
    </xf>
    <xf numFmtId="170" fontId="10" fillId="12" borderId="6" xfId="3" applyNumberFormat="1" applyFont="1" applyFill="1" applyBorder="1"/>
    <xf numFmtId="0" fontId="10" fillId="12" borderId="5" xfId="3" applyFont="1" applyFill="1" applyBorder="1" applyAlignment="1">
      <alignment horizontal="left" indent="1"/>
    </xf>
    <xf numFmtId="173" fontId="10" fillId="12" borderId="4" xfId="3" applyNumberFormat="1" applyFont="1" applyFill="1" applyBorder="1"/>
    <xf numFmtId="0" fontId="10" fillId="12" borderId="3" xfId="3" applyFont="1" applyFill="1" applyBorder="1" applyAlignment="1">
      <alignment horizontal="left" indent="1"/>
    </xf>
    <xf numFmtId="170" fontId="10" fillId="12" borderId="1" xfId="3" applyNumberFormat="1" applyFont="1" applyFill="1" applyBorder="1"/>
    <xf numFmtId="7" fontId="10" fillId="12" borderId="6" xfId="3" applyNumberFormat="1" applyFont="1" applyFill="1" applyBorder="1"/>
    <xf numFmtId="167" fontId="10" fillId="13" borderId="0" xfId="3" applyNumberFormat="1" applyFont="1" applyFill="1" applyAlignment="1">
      <alignment horizontal="center"/>
    </xf>
    <xf numFmtId="167" fontId="1" fillId="13" borderId="0" xfId="3" applyNumberFormat="1" applyFill="1" applyAlignment="1">
      <alignment horizontal="center"/>
    </xf>
    <xf numFmtId="0" fontId="33" fillId="2" borderId="2" xfId="9" applyBorder="1" applyAlignment="1">
      <alignment horizontal="center"/>
    </xf>
    <xf numFmtId="0" fontId="29" fillId="2" borderId="2" xfId="9" applyFont="1" applyBorder="1"/>
    <xf numFmtId="0" fontId="33" fillId="2" borderId="2" xfId="9" applyBorder="1"/>
    <xf numFmtId="0" fontId="34" fillId="2" borderId="2" xfId="9" applyFont="1" applyBorder="1" applyAlignment="1">
      <alignment horizontal="center"/>
    </xf>
    <xf numFmtId="0" fontId="33" fillId="2" borderId="0" xfId="9" applyAlignment="1">
      <alignment horizontal="center"/>
    </xf>
    <xf numFmtId="0" fontId="35" fillId="2" borderId="0" xfId="9" applyFont="1"/>
    <xf numFmtId="14" fontId="33" fillId="10" borderId="11" xfId="9" applyNumberFormat="1" applyFill="1" applyBorder="1" applyAlignment="1">
      <alignment horizontal="center"/>
    </xf>
    <xf numFmtId="0" fontId="33" fillId="2" borderId="0" xfId="9"/>
    <xf numFmtId="0" fontId="34" fillId="2" borderId="0" xfId="9" applyFont="1"/>
    <xf numFmtId="0" fontId="0" fillId="10" borderId="11" xfId="9" applyFont="1" applyFill="1" applyBorder="1" applyAlignment="1">
      <alignment horizontal="center"/>
    </xf>
    <xf numFmtId="0" fontId="35" fillId="13" borderId="0" xfId="9" applyFont="1" applyFill="1" applyAlignment="1">
      <alignment vertical="center"/>
    </xf>
    <xf numFmtId="0" fontId="33" fillId="13" borderId="0" xfId="9" applyFill="1" applyAlignment="1">
      <alignment horizontal="right" vertical="center"/>
    </xf>
    <xf numFmtId="0" fontId="35" fillId="13" borderId="0" xfId="9" applyFont="1" applyFill="1" applyAlignment="1">
      <alignment horizontal="center" vertical="center"/>
    </xf>
    <xf numFmtId="0" fontId="36" fillId="13" borderId="0" xfId="9" applyFont="1" applyFill="1" applyAlignment="1">
      <alignment horizontal="centerContinuous" vertical="center"/>
    </xf>
    <xf numFmtId="0" fontId="35" fillId="13" borderId="2" xfId="9" applyFont="1" applyFill="1" applyBorder="1" applyAlignment="1">
      <alignment vertical="center"/>
    </xf>
    <xf numFmtId="0" fontId="35" fillId="13" borderId="2" xfId="9" applyFont="1" applyFill="1" applyBorder="1" applyAlignment="1">
      <alignment horizontal="center" vertical="center"/>
    </xf>
    <xf numFmtId="0" fontId="35" fillId="13" borderId="2" xfId="9" quotePrefix="1" applyFont="1" applyFill="1" applyBorder="1" applyAlignment="1">
      <alignment horizontal="center" vertical="center"/>
    </xf>
    <xf numFmtId="0" fontId="35" fillId="2" borderId="0" xfId="9" applyFont="1" applyAlignment="1">
      <alignment vertical="center"/>
    </xf>
    <xf numFmtId="0" fontId="35" fillId="2" borderId="0" xfId="9" applyFont="1" applyAlignment="1">
      <alignment horizontal="center" vertical="center"/>
    </xf>
    <xf numFmtId="0" fontId="35" fillId="2" borderId="0" xfId="9" quotePrefix="1" applyFont="1" applyAlignment="1">
      <alignment horizontal="center" vertical="center"/>
    </xf>
    <xf numFmtId="0" fontId="37" fillId="2" borderId="9" xfId="9" applyFont="1" applyBorder="1"/>
    <xf numFmtId="0" fontId="33" fillId="2" borderId="10" xfId="9" applyBorder="1"/>
    <xf numFmtId="3" fontId="33" fillId="2" borderId="10" xfId="9" applyNumberFormat="1" applyBorder="1" applyAlignment="1">
      <alignment horizontal="center" vertical="center"/>
    </xf>
    <xf numFmtId="169" fontId="0" fillId="2" borderId="10" xfId="10" applyNumberFormat="1" applyFont="1" applyBorder="1" applyAlignment="1">
      <alignment horizontal="center"/>
    </xf>
    <xf numFmtId="0" fontId="37" fillId="2" borderId="0" xfId="9" applyFont="1"/>
    <xf numFmtId="0" fontId="33" fillId="2" borderId="8" xfId="9" applyBorder="1"/>
    <xf numFmtId="3" fontId="33" fillId="2" borderId="0" xfId="9" applyNumberFormat="1" applyAlignment="1">
      <alignment horizontal="center"/>
    </xf>
    <xf numFmtId="3" fontId="33" fillId="2" borderId="0" xfId="9" applyNumberFormat="1" applyAlignment="1">
      <alignment horizontal="center" vertical="center"/>
    </xf>
    <xf numFmtId="169" fontId="0" fillId="2" borderId="0" xfId="10" applyNumberFormat="1" applyFont="1" applyBorder="1" applyAlignment="1">
      <alignment horizontal="center"/>
    </xf>
    <xf numFmtId="179" fontId="33" fillId="2" borderId="0" xfId="9" applyNumberFormat="1" applyAlignment="1">
      <alignment horizontal="center"/>
    </xf>
    <xf numFmtId="169" fontId="0" fillId="2" borderId="0" xfId="10" applyNumberFormat="1" applyFont="1" applyAlignment="1">
      <alignment horizontal="center"/>
    </xf>
    <xf numFmtId="0" fontId="35" fillId="14" borderId="7" xfId="9" applyFont="1" applyFill="1" applyBorder="1"/>
    <xf numFmtId="0" fontId="33" fillId="14" borderId="8" xfId="9" applyFill="1" applyBorder="1"/>
    <xf numFmtId="169" fontId="35" fillId="14" borderId="8" xfId="9" applyNumberFormat="1" applyFont="1" applyFill="1" applyBorder="1" applyAlignment="1">
      <alignment horizontal="center"/>
    </xf>
    <xf numFmtId="179" fontId="35" fillId="14" borderId="8" xfId="9" applyNumberFormat="1" applyFont="1" applyFill="1" applyBorder="1" applyAlignment="1">
      <alignment horizontal="center"/>
    </xf>
    <xf numFmtId="0" fontId="35" fillId="14" borderId="3" xfId="9" applyFont="1" applyFill="1" applyBorder="1"/>
    <xf numFmtId="0" fontId="33" fillId="14" borderId="2" xfId="9" applyFill="1" applyBorder="1"/>
    <xf numFmtId="169" fontId="35" fillId="14" borderId="2" xfId="9" applyNumberFormat="1" applyFont="1" applyFill="1" applyBorder="1" applyAlignment="1">
      <alignment horizontal="center"/>
    </xf>
    <xf numFmtId="179" fontId="35" fillId="14" borderId="2" xfId="9" applyNumberFormat="1" applyFont="1" applyFill="1" applyBorder="1" applyAlignment="1">
      <alignment horizontal="center"/>
    </xf>
    <xf numFmtId="0" fontId="38" fillId="2" borderId="0" xfId="9" applyFont="1" applyAlignment="1">
      <alignment horizontal="center"/>
    </xf>
    <xf numFmtId="179" fontId="33" fillId="2" borderId="0" xfId="9" applyNumberFormat="1" applyAlignment="1">
      <alignment horizontal="center" vertical="center"/>
    </xf>
    <xf numFmtId="4" fontId="37" fillId="2" borderId="0" xfId="9" applyNumberFormat="1" applyFont="1" applyAlignment="1">
      <alignment horizontal="center" vertical="center"/>
    </xf>
    <xf numFmtId="3" fontId="37" fillId="2" borderId="0" xfId="9" applyNumberFormat="1" applyFont="1" applyAlignment="1">
      <alignment horizontal="center" vertical="center"/>
    </xf>
    <xf numFmtId="1" fontId="37" fillId="2" borderId="0" xfId="9" quotePrefix="1" applyNumberFormat="1" applyFont="1" applyAlignment="1">
      <alignment horizontal="center" vertical="center"/>
    </xf>
    <xf numFmtId="3" fontId="33" fillId="2" borderId="0" xfId="9" applyNumberFormat="1"/>
    <xf numFmtId="3" fontId="33" fillId="2" borderId="0" xfId="9" quotePrefix="1" applyNumberFormat="1" applyAlignment="1">
      <alignment horizontal="center" vertical="center"/>
    </xf>
    <xf numFmtId="180" fontId="33" fillId="2" borderId="0" xfId="9" quotePrefix="1" applyNumberFormat="1" applyAlignment="1">
      <alignment vertical="center"/>
    </xf>
    <xf numFmtId="1" fontId="33" fillId="2" borderId="0" xfId="9" quotePrefix="1" applyNumberFormat="1" applyAlignment="1">
      <alignment horizontal="center" vertical="center"/>
    </xf>
    <xf numFmtId="0" fontId="39" fillId="15" borderId="0" xfId="9" applyFont="1" applyFill="1" applyAlignment="1">
      <alignment horizontal="center"/>
    </xf>
    <xf numFmtId="0" fontId="40" fillId="15" borderId="0" xfId="9" applyFont="1" applyFill="1" applyAlignment="1">
      <alignment vertical="center"/>
    </xf>
    <xf numFmtId="179" fontId="39" fillId="15" borderId="0" xfId="9" applyNumberFormat="1" applyFont="1" applyFill="1" applyAlignment="1">
      <alignment horizontal="center" vertical="center"/>
    </xf>
    <xf numFmtId="0" fontId="40" fillId="15" borderId="0" xfId="9" applyFont="1" applyFill="1" applyAlignment="1">
      <alignment horizontal="center" vertical="center"/>
    </xf>
    <xf numFmtId="3" fontId="39" fillId="15" borderId="0" xfId="9" applyNumberFormat="1" applyFont="1" applyFill="1" applyAlignment="1">
      <alignment horizontal="center" vertical="center"/>
    </xf>
    <xf numFmtId="0" fontId="39" fillId="15" borderId="0" xfId="9" applyFont="1" applyFill="1"/>
    <xf numFmtId="1" fontId="39" fillId="15" borderId="0" xfId="9" quotePrefix="1" applyNumberFormat="1" applyFont="1" applyFill="1" applyAlignment="1">
      <alignment horizontal="center" vertical="center"/>
    </xf>
    <xf numFmtId="0" fontId="40" fillId="15" borderId="0" xfId="9" quotePrefix="1" applyFont="1" applyFill="1" applyAlignment="1">
      <alignment horizontal="center" vertical="center"/>
    </xf>
    <xf numFmtId="0" fontId="41" fillId="2" borderId="0" xfId="9" applyFont="1" applyAlignment="1">
      <alignment horizontal="left"/>
    </xf>
    <xf numFmtId="0" fontId="41" fillId="2" borderId="0" xfId="9" applyFont="1" applyAlignment="1">
      <alignment horizontal="center"/>
    </xf>
    <xf numFmtId="4" fontId="33" fillId="2" borderId="0" xfId="9" applyNumberFormat="1" applyAlignment="1">
      <alignment horizontal="center"/>
    </xf>
    <xf numFmtId="0" fontId="1" fillId="2" borderId="0" xfId="11"/>
    <xf numFmtId="3" fontId="33" fillId="2" borderId="0" xfId="9" applyNumberFormat="1" applyAlignment="1">
      <alignment horizontal="center" vertical="justify"/>
    </xf>
    <xf numFmtId="0" fontId="33" fillId="2" borderId="0" xfId="9" applyAlignment="1">
      <alignment horizontal="center" vertical="top"/>
    </xf>
    <xf numFmtId="10" fontId="33" fillId="2" borderId="0" xfId="5" applyNumberFormat="1" applyFont="1" applyAlignment="1">
      <alignment horizontal="center" vertical="center"/>
    </xf>
    <xf numFmtId="3" fontId="33" fillId="4" borderId="0" xfId="9" applyNumberFormat="1" applyFill="1" applyAlignment="1">
      <alignment horizontal="center" vertical="center"/>
    </xf>
    <xf numFmtId="0" fontId="33" fillId="2" borderId="0" xfId="9" applyAlignment="1">
      <alignment horizontal="center" vertical="center" wrapText="1"/>
    </xf>
    <xf numFmtId="0" fontId="33" fillId="2" borderId="0" xfId="9" applyAlignment="1">
      <alignment vertical="center" wrapText="1"/>
    </xf>
    <xf numFmtId="37" fontId="10" fillId="6" borderId="0" xfId="3" applyNumberFormat="1" applyFont="1" applyFill="1" applyAlignment="1">
      <alignment horizontal="center"/>
    </xf>
    <xf numFmtId="0" fontId="42" fillId="2" borderId="0" xfId="3" applyFont="1"/>
    <xf numFmtId="0" fontId="43" fillId="2" borderId="0" xfId="4" applyFont="1" applyAlignment="1">
      <alignment horizontal="left" indent="1"/>
    </xf>
    <xf numFmtId="0" fontId="42" fillId="2" borderId="0" xfId="3" applyFont="1" applyAlignment="1">
      <alignment horizontal="left" indent="1"/>
    </xf>
    <xf numFmtId="37" fontId="42" fillId="2" borderId="0" xfId="3" applyNumberFormat="1" applyFont="1" applyAlignment="1">
      <alignment horizontal="center"/>
    </xf>
    <xf numFmtId="10" fontId="43" fillId="6" borderId="0" xfId="5" quotePrefix="1" applyNumberFormat="1" applyFont="1" applyFill="1" applyAlignment="1">
      <alignment horizontal="center"/>
    </xf>
    <xf numFmtId="10" fontId="42" fillId="6" borderId="0" xfId="5" applyNumberFormat="1" applyFont="1" applyFill="1" applyAlignment="1">
      <alignment horizontal="center"/>
    </xf>
    <xf numFmtId="0" fontId="44" fillId="2" borderId="0" xfId="3" applyFont="1"/>
    <xf numFmtId="0" fontId="45" fillId="2" borderId="0" xfId="4" applyFont="1" applyAlignment="1">
      <alignment horizontal="left" indent="1"/>
    </xf>
    <xf numFmtId="0" fontId="44" fillId="2" borderId="0" xfId="3" applyFont="1" applyAlignment="1">
      <alignment horizontal="left" indent="1"/>
    </xf>
    <xf numFmtId="37" fontId="44" fillId="2" borderId="0" xfId="3" applyNumberFormat="1" applyFont="1" applyAlignment="1">
      <alignment horizontal="center"/>
    </xf>
    <xf numFmtId="37" fontId="44" fillId="6" borderId="0" xfId="3" applyNumberFormat="1" applyFont="1" applyFill="1" applyAlignment="1">
      <alignment horizontal="center"/>
    </xf>
    <xf numFmtId="10" fontId="44" fillId="6" borderId="0" xfId="5" applyNumberFormat="1" applyFont="1" applyFill="1" applyAlignment="1">
      <alignment horizontal="center"/>
    </xf>
    <xf numFmtId="10" fontId="45" fillId="6" borderId="0" xfId="5" applyNumberFormat="1" applyFont="1" applyFill="1" applyAlignment="1">
      <alignment horizontal="center"/>
    </xf>
    <xf numFmtId="10" fontId="45" fillId="6" borderId="0" xfId="5" quotePrefix="1" applyNumberFormat="1" applyFont="1" applyFill="1" applyAlignment="1">
      <alignment horizontal="center"/>
    </xf>
    <xf numFmtId="0" fontId="46" fillId="2" borderId="0" xfId="3" applyFont="1"/>
    <xf numFmtId="0" fontId="46" fillId="2" borderId="0" xfId="3" applyFont="1" applyAlignment="1">
      <alignment horizontal="left" indent="1"/>
    </xf>
    <xf numFmtId="37" fontId="46" fillId="2" borderId="0" xfId="3" applyNumberFormat="1" applyFont="1" applyAlignment="1">
      <alignment horizontal="center"/>
    </xf>
    <xf numFmtId="10" fontId="19" fillId="6" borderId="0" xfId="5" quotePrefix="1" applyNumberFormat="1" applyFont="1" applyFill="1" applyBorder="1" applyAlignment="1">
      <alignment horizontal="center"/>
    </xf>
    <xf numFmtId="10" fontId="0" fillId="6" borderId="0" xfId="5" applyNumberFormat="1" applyFont="1" applyFill="1" applyBorder="1" applyAlignment="1">
      <alignment horizontal="center"/>
    </xf>
    <xf numFmtId="10" fontId="22" fillId="6" borderId="0" xfId="5" quotePrefix="1" applyNumberFormat="1" applyFont="1" applyFill="1" applyBorder="1" applyAlignment="1">
      <alignment horizontal="center"/>
    </xf>
    <xf numFmtId="37" fontId="17" fillId="6" borderId="10" xfId="3" applyNumberFormat="1" applyFont="1" applyFill="1" applyBorder="1" applyAlignment="1">
      <alignment horizontal="center"/>
    </xf>
    <xf numFmtId="0" fontId="1" fillId="9" borderId="0" xfId="3" applyFill="1"/>
    <xf numFmtId="37" fontId="1" fillId="9" borderId="0" xfId="3" applyNumberFormat="1" applyFill="1" applyAlignment="1">
      <alignment horizontal="center"/>
    </xf>
    <xf numFmtId="39" fontId="1" fillId="9" borderId="0" xfId="3" applyNumberFormat="1" applyFill="1" applyAlignment="1">
      <alignment horizontal="center"/>
    </xf>
    <xf numFmtId="0" fontId="0" fillId="9" borderId="0" xfId="0" applyFill="1"/>
    <xf numFmtId="164" fontId="0" fillId="9" borderId="0" xfId="0" applyNumberFormat="1" applyFill="1"/>
    <xf numFmtId="9" fontId="45" fillId="6" borderId="0" xfId="5" quotePrefix="1" applyFont="1" applyFill="1" applyAlignment="1">
      <alignment horizontal="center"/>
    </xf>
    <xf numFmtId="10" fontId="45" fillId="6" borderId="0" xfId="5" quotePrefix="1" applyNumberFormat="1" applyFont="1" applyFill="1" applyBorder="1" applyAlignment="1">
      <alignment horizontal="center"/>
    </xf>
    <xf numFmtId="0" fontId="46" fillId="0" borderId="0" xfId="3" applyFont="1" applyFill="1"/>
    <xf numFmtId="0" fontId="19" fillId="0" borderId="0" xfId="4" applyFont="1" applyFill="1" applyAlignment="1">
      <alignment horizontal="left" indent="1"/>
    </xf>
    <xf numFmtId="0" fontId="1" fillId="0" borderId="0" xfId="3" applyFill="1" applyAlignment="1">
      <alignment horizontal="left" indent="1"/>
    </xf>
    <xf numFmtId="0" fontId="1" fillId="0" borderId="0" xfId="3" applyFill="1"/>
    <xf numFmtId="37" fontId="1" fillId="0" borderId="0" xfId="3" applyNumberFormat="1" applyFill="1" applyAlignment="1">
      <alignment horizontal="center"/>
    </xf>
    <xf numFmtId="39" fontId="1" fillId="0" borderId="0" xfId="3" applyNumberForma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165" fontId="0" fillId="0" borderId="2" xfId="0" applyNumberFormat="1" applyBorder="1"/>
    <xf numFmtId="0" fontId="0" fillId="0" borderId="1" xfId="0" applyBorder="1"/>
    <xf numFmtId="0" fontId="0" fillId="3" borderId="0" xfId="0" applyFill="1"/>
    <xf numFmtId="0" fontId="47" fillId="0" borderId="0" xfId="4" applyFont="1" applyFill="1" applyAlignment="1">
      <alignment horizontal="left" indent="1"/>
    </xf>
    <xf numFmtId="0" fontId="48" fillId="0" borderId="0" xfId="3" applyFont="1" applyFill="1" applyAlignment="1">
      <alignment horizontal="left" indent="1"/>
    </xf>
    <xf numFmtId="0" fontId="48" fillId="0" borderId="0" xfId="3" applyFont="1" applyFill="1"/>
    <xf numFmtId="37" fontId="48" fillId="0" borderId="0" xfId="3" applyNumberFormat="1" applyFont="1" applyFill="1" applyAlignment="1">
      <alignment horizontal="center"/>
    </xf>
    <xf numFmtId="39" fontId="42" fillId="6" borderId="0" xfId="3" applyNumberFormat="1" applyFont="1" applyFill="1" applyAlignment="1">
      <alignment horizontal="center"/>
    </xf>
    <xf numFmtId="37" fontId="30" fillId="6" borderId="10" xfId="3" applyNumberFormat="1" applyFont="1" applyFill="1" applyBorder="1" applyAlignment="1">
      <alignment horizontal="center"/>
    </xf>
    <xf numFmtId="10" fontId="3" fillId="6" borderId="0" xfId="5" applyNumberFormat="1" applyFont="1" applyFill="1" applyBorder="1" applyAlignment="1">
      <alignment horizontal="center"/>
    </xf>
    <xf numFmtId="10" fontId="49" fillId="6" borderId="0" xfId="5" applyNumberFormat="1" applyFont="1" applyFill="1" applyBorder="1" applyAlignment="1">
      <alignment horizontal="center"/>
    </xf>
    <xf numFmtId="39" fontId="17" fillId="9" borderId="0" xfId="3" applyNumberFormat="1" applyFont="1" applyFill="1" applyAlignment="1">
      <alignment horizontal="center"/>
    </xf>
    <xf numFmtId="9" fontId="0" fillId="3" borderId="0" xfId="0" applyNumberFormat="1" applyFill="1" applyAlignment="1">
      <alignment horizontal="right"/>
    </xf>
    <xf numFmtId="10" fontId="0" fillId="0" borderId="0" xfId="0" applyNumberFormat="1"/>
    <xf numFmtId="9" fontId="10" fillId="2" borderId="0" xfId="3" applyNumberFormat="1" applyFont="1"/>
    <xf numFmtId="2" fontId="10" fillId="6" borderId="0" xfId="3" applyNumberFormat="1" applyFont="1" applyFill="1"/>
    <xf numFmtId="9" fontId="10" fillId="6" borderId="0" xfId="1" applyFont="1" applyFill="1"/>
    <xf numFmtId="9" fontId="10" fillId="6" borderId="0" xfId="3" applyNumberFormat="1" applyFont="1" applyFill="1"/>
    <xf numFmtId="165" fontId="10" fillId="6" borderId="0" xfId="3" applyNumberFormat="1" applyFont="1" applyFill="1"/>
    <xf numFmtId="1" fontId="10" fillId="6" borderId="0" xfId="3" applyNumberFormat="1" applyFont="1" applyFill="1"/>
    <xf numFmtId="181" fontId="3" fillId="2" borderId="0" xfId="2" applyNumberFormat="1" applyFont="1"/>
    <xf numFmtId="166" fontId="17" fillId="6" borderId="0" xfId="1" applyNumberFormat="1" applyFont="1" applyFill="1" applyAlignment="1">
      <alignment horizontal="center"/>
    </xf>
    <xf numFmtId="10" fontId="2" fillId="2" borderId="0" xfId="1" applyNumberFormat="1" applyFill="1"/>
    <xf numFmtId="10" fontId="2" fillId="3" borderId="0" xfId="1" applyNumberFormat="1" applyFill="1"/>
    <xf numFmtId="3" fontId="33" fillId="0" borderId="0" xfId="9" applyNumberFormat="1" applyFill="1" applyAlignment="1">
      <alignment horizontal="center" vertical="center"/>
    </xf>
    <xf numFmtId="0" fontId="33" fillId="0" borderId="0" xfId="9" applyFill="1"/>
    <xf numFmtId="181" fontId="33" fillId="2" borderId="10" xfId="9" applyNumberFormat="1" applyBorder="1" applyAlignment="1">
      <alignment horizontal="center" vertical="center"/>
    </xf>
    <xf numFmtId="181" fontId="33" fillId="2" borderId="0" xfId="9" applyNumberFormat="1" applyAlignment="1">
      <alignment horizontal="center"/>
    </xf>
    <xf numFmtId="181" fontId="33" fillId="2" borderId="0" xfId="9" applyNumberFormat="1" applyAlignment="1">
      <alignment horizontal="center" vertical="center"/>
    </xf>
    <xf numFmtId="0" fontId="33" fillId="4" borderId="0" xfId="9" applyFill="1"/>
    <xf numFmtId="39" fontId="31" fillId="2" borderId="14" xfId="3" applyNumberFormat="1" applyFont="1" applyBorder="1" applyAlignment="1">
      <alignment horizontal="right"/>
    </xf>
    <xf numFmtId="7" fontId="31" fillId="2" borderId="14" xfId="3" applyNumberFormat="1" applyFont="1" applyBorder="1" applyAlignment="1">
      <alignment horizontal="right"/>
    </xf>
    <xf numFmtId="0" fontId="33" fillId="16" borderId="0" xfId="9" applyFill="1"/>
    <xf numFmtId="179" fontId="33" fillId="2" borderId="0" xfId="9" applyNumberFormat="1"/>
    <xf numFmtId="0" fontId="2" fillId="2" borderId="0" xfId="2" applyAlignment="1">
      <alignment horizontal="center" vertical="center"/>
    </xf>
    <xf numFmtId="0" fontId="1" fillId="2" borderId="0" xfId="3" applyAlignment="1">
      <alignment horizontal="center" vertical="center"/>
    </xf>
    <xf numFmtId="0" fontId="11" fillId="2" borderId="0" xfId="2" applyFont="1" applyBorder="1" applyAlignment="1">
      <alignment horizontal="left"/>
    </xf>
    <xf numFmtId="9" fontId="2" fillId="2" borderId="0" xfId="2" applyNumberFormat="1" applyBorder="1" applyAlignment="1">
      <alignment horizontal="center" vertical="center"/>
    </xf>
    <xf numFmtId="165" fontId="2" fillId="2" borderId="0" xfId="2" applyNumberFormat="1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9" fontId="2" fillId="0" borderId="0" xfId="2" applyNumberFormat="1" applyFill="1" applyBorder="1" applyAlignment="1">
      <alignment horizontal="center" vertical="center"/>
    </xf>
    <xf numFmtId="0" fontId="2" fillId="0" borderId="0" xfId="2" applyFill="1" applyBorder="1" applyAlignment="1">
      <alignment horizontal="center" vertical="center"/>
    </xf>
    <xf numFmtId="165" fontId="2" fillId="0" borderId="0" xfId="2" applyNumberFormat="1" applyFill="1" applyBorder="1" applyAlignment="1">
      <alignment horizontal="center" vertical="center"/>
    </xf>
    <xf numFmtId="0" fontId="2" fillId="0" borderId="4" xfId="2" applyFill="1" applyBorder="1" applyAlignment="1">
      <alignment horizontal="center" vertical="center"/>
    </xf>
    <xf numFmtId="10" fontId="2" fillId="0" borderId="0" xfId="2" applyNumberFormat="1" applyFill="1" applyBorder="1" applyAlignment="1">
      <alignment horizontal="center" vertical="center"/>
    </xf>
    <xf numFmtId="0" fontId="11" fillId="2" borderId="0" xfId="2" applyFont="1" applyBorder="1" applyAlignment="1">
      <alignment horizontal="center" vertical="center"/>
    </xf>
    <xf numFmtId="0" fontId="11" fillId="2" borderId="4" xfId="2" applyFont="1" applyBorder="1" applyAlignment="1">
      <alignment horizontal="center" vertical="center"/>
    </xf>
    <xf numFmtId="10" fontId="2" fillId="2" borderId="2" xfId="2" applyNumberFormat="1" applyBorder="1" applyAlignment="1">
      <alignment horizontal="right"/>
    </xf>
    <xf numFmtId="0" fontId="2" fillId="2" borderId="2" xfId="2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11" fillId="2" borderId="8" xfId="2" applyFont="1" applyBorder="1" applyAlignment="1">
      <alignment horizontal="left"/>
    </xf>
    <xf numFmtId="0" fontId="11" fillId="2" borderId="6" xfId="2" applyFont="1" applyBorder="1" applyAlignment="1">
      <alignment horizontal="left"/>
    </xf>
    <xf numFmtId="9" fontId="2" fillId="0" borderId="2" xfId="2" applyNumberFormat="1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165" fontId="2" fillId="0" borderId="2" xfId="2" applyNumberFormat="1" applyFill="1" applyBorder="1" applyAlignment="1">
      <alignment horizontal="center" vertical="center"/>
    </xf>
    <xf numFmtId="0" fontId="2" fillId="0" borderId="1" xfId="2" applyFill="1" applyBorder="1" applyAlignment="1">
      <alignment horizontal="center" vertical="center"/>
    </xf>
    <xf numFmtId="0" fontId="2" fillId="0" borderId="8" xfId="2" applyFill="1" applyBorder="1" applyAlignment="1">
      <alignment horizontal="center" vertical="center"/>
    </xf>
    <xf numFmtId="165" fontId="2" fillId="0" borderId="8" xfId="2" applyNumberFormat="1" applyFill="1" applyBorder="1" applyAlignment="1">
      <alignment horizontal="center" vertical="center"/>
    </xf>
    <xf numFmtId="0" fontId="2" fillId="0" borderId="6" xfId="2" applyFill="1" applyBorder="1" applyAlignment="1">
      <alignment horizontal="center" vertical="center"/>
    </xf>
    <xf numFmtId="0" fontId="11" fillId="2" borderId="18" xfId="2" applyFont="1" applyBorder="1" applyAlignment="1">
      <alignment horizontal="left"/>
    </xf>
    <xf numFmtId="0" fontId="2" fillId="2" borderId="19" xfId="2" applyBorder="1" applyAlignment="1">
      <alignment horizontal="right"/>
    </xf>
    <xf numFmtId="0" fontId="2" fillId="2" borderId="20" xfId="2" applyBorder="1" applyAlignment="1">
      <alignment horizontal="right"/>
    </xf>
    <xf numFmtId="0" fontId="2" fillId="3" borderId="19" xfId="2" applyFill="1" applyBorder="1" applyAlignment="1">
      <alignment horizontal="right"/>
    </xf>
    <xf numFmtId="0" fontId="2" fillId="16" borderId="20" xfId="2" applyFill="1" applyBorder="1" applyAlignment="1">
      <alignment horizontal="right"/>
    </xf>
    <xf numFmtId="0" fontId="11" fillId="2" borderId="19" xfId="2" applyFont="1" applyBorder="1" applyAlignment="1">
      <alignment horizontal="left"/>
    </xf>
    <xf numFmtId="0" fontId="2" fillId="17" borderId="17" xfId="2" applyFill="1" applyBorder="1"/>
    <xf numFmtId="0" fontId="2" fillId="17" borderId="10" xfId="2" applyFill="1" applyBorder="1"/>
    <xf numFmtId="0" fontId="2" fillId="17" borderId="10" xfId="2" applyFill="1" applyBorder="1" applyAlignment="1">
      <alignment wrapText="1"/>
    </xf>
    <xf numFmtId="0" fontId="2" fillId="17" borderId="12" xfId="2" applyFill="1" applyBorder="1" applyAlignment="1">
      <alignment wrapText="1"/>
    </xf>
    <xf numFmtId="179" fontId="0" fillId="2" borderId="10" xfId="10" applyNumberFormat="1" applyFont="1" applyBorder="1" applyAlignment="1">
      <alignment horizontal="center"/>
    </xf>
    <xf numFmtId="0" fontId="2" fillId="2" borderId="0" xfId="2" applyAlignment="1">
      <alignment horizontal="center"/>
    </xf>
    <xf numFmtId="0" fontId="9" fillId="11" borderId="0" xfId="3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2" fillId="0" borderId="4" xfId="2" applyFill="1" applyBorder="1" applyAlignment="1">
      <alignment horizontal="center" vertical="center"/>
    </xf>
    <xf numFmtId="0" fontId="1" fillId="2" borderId="7" xfId="3" applyBorder="1" applyAlignment="1">
      <alignment horizontal="center"/>
    </xf>
    <xf numFmtId="0" fontId="1" fillId="2" borderId="6" xfId="3" applyBorder="1"/>
    <xf numFmtId="0" fontId="2" fillId="2" borderId="7" xfId="2" applyBorder="1" applyAlignment="1">
      <alignment horizontal="center"/>
    </xf>
    <xf numFmtId="0" fontId="2" fillId="2" borderId="8" xfId="2" applyBorder="1" applyAlignment="1">
      <alignment horizontal="center"/>
    </xf>
    <xf numFmtId="0" fontId="2" fillId="2" borderId="6" xfId="2" applyBorder="1" applyAlignment="1">
      <alignment horizontal="center"/>
    </xf>
    <xf numFmtId="0" fontId="2" fillId="2" borderId="0" xfId="2" applyAlignment="1">
      <alignment horizontal="center" wrapText="1"/>
    </xf>
    <xf numFmtId="37" fontId="21" fillId="6" borderId="0" xfId="3" applyNumberFormat="1" applyFont="1" applyFill="1" applyBorder="1" applyAlignment="1">
      <alignment horizontal="center"/>
    </xf>
    <xf numFmtId="39" fontId="21" fillId="6" borderId="0" xfId="3" applyNumberFormat="1" applyFont="1" applyFill="1" applyBorder="1" applyAlignment="1">
      <alignment horizontal="center"/>
    </xf>
  </cellXfs>
  <cellStyles count="12">
    <cellStyle name="Currency 2" xfId="7" xr:uid="{082EC512-2F7E-478E-B096-9004CEA832E2}"/>
    <cellStyle name="Normal" xfId="0" builtinId="0"/>
    <cellStyle name="Normal 2" xfId="2" xr:uid="{29AD5CAB-386A-40CC-A998-0FF157631D5F}"/>
    <cellStyle name="Normal 2 2" xfId="6" xr:uid="{419055B5-6C69-40A5-856C-6E4532BFC8C0}"/>
    <cellStyle name="Normal 3" xfId="3" xr:uid="{0CF4D953-C7AC-4BB8-824D-EAD7EF7F71AD}"/>
    <cellStyle name="Normal 3 2" xfId="4" xr:uid="{9D290D5B-995F-45AB-8D73-C9DFF35C2570}"/>
    <cellStyle name="Normal 3 3" xfId="9" xr:uid="{7E6756FA-D481-42F2-81EB-EF9D6AAF3D0E}"/>
    <cellStyle name="Normal 4" xfId="11" xr:uid="{2244913C-54E5-46AB-80D9-EED54982076E}"/>
    <cellStyle name="Percent" xfId="1" builtinId="5"/>
    <cellStyle name="Percent 2" xfId="5" xr:uid="{EAF5B458-7828-46C1-A6CD-97100CE045CA}"/>
    <cellStyle name="Percent 2 2" xfId="8" xr:uid="{E8439FE2-D91C-48F7-92BC-386F6647947B}"/>
    <cellStyle name="Percent 3" xfId="10" xr:uid="{1481E3F2-CCBB-4A23-8961-9B5690A33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18940591925964"/>
          <c:y val="7.2888677693448339E-2"/>
          <c:w val="0.68507659594948556"/>
          <c:h val="0.8542226446131033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3C-4AE4-A4FF-2B50265D27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3C-4AE4-A4FF-2B50265D27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13C-4AE4-A4FF-2B50265D27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3C-4AE4-A4FF-2B50265D27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13C-4AE4-A4FF-2B50265D27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13C-4AE4-A4FF-2B50265D27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13C-4AE4-A4FF-2B50265D27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13C-4AE4-A4FF-2B50265D27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A13C-4AE4-A4FF-2B50265D2793}"/>
              </c:ext>
            </c:extLst>
          </c:dPt>
          <c:dLbls>
            <c:dLbl>
              <c:idx val="0"/>
              <c:layout>
                <c:manualLayout>
                  <c:x val="-0.25373637214258787"/>
                  <c:y val="2.9947327559666431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DFBA322-8737-429A-8511-639E0F3936B9}" type="CATEGORYNAME">
                      <a:rPr lang="en-US" sz="1600"/>
                      <a:pPr>
                        <a:defRPr sz="1600"/>
                      </a:pPr>
                      <a:t>[CATEGORY NAME]</a:t>
                    </a:fld>
                    <a:r>
                      <a:rPr lang="en-US" sz="1600" baseline="0"/>
                      <a:t>
</a:t>
                    </a:r>
                    <a:fld id="{6C29B300-7DA8-4BAA-B484-81042DBB293C}" type="PERCENTAGE">
                      <a:rPr lang="en-US" sz="1600" baseline="0"/>
                      <a:pPr>
                        <a:defRPr sz="1600"/>
                      </a:pPr>
                      <a:t>[PERCENTAGE]</a:t>
                    </a:fld>
                    <a:endParaRPr lang="en-US" sz="1600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9181918533468597E-2"/>
                      <c:h val="4.313934585930515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13C-4AE4-A4FF-2B50265D279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A13C-4AE4-A4FF-2B50265D2793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A13C-4AE4-A4FF-2B50265D2793}"/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A13C-4AE4-A4FF-2B50265D2793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A13C-4AE4-A4FF-2B50265D2793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A13C-4AE4-A4FF-2B50265D2793}"/>
                </c:ext>
              </c:extLst>
            </c:dLbl>
            <c:dLbl>
              <c:idx val="6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A13C-4AE4-A4FF-2B50265D2793}"/>
                </c:ext>
              </c:extLst>
            </c:dLbl>
            <c:dLbl>
              <c:idx val="7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A13C-4AE4-A4FF-2B50265D2793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A13C-4AE4-A4FF-2B50265D279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4472C4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'VIST Comps &amp; market share'!$C$69:$C$77</c:f>
              <c:strCache>
                <c:ptCount val="8"/>
                <c:pt idx="0">
                  <c:v>VIST-US</c:v>
                </c:pt>
                <c:pt idx="1">
                  <c:v>PRIO3-BR</c:v>
                </c:pt>
                <c:pt idx="2">
                  <c:v>RECV3-BR</c:v>
                </c:pt>
                <c:pt idx="3">
                  <c:v>GPRK-US</c:v>
                </c:pt>
                <c:pt idx="4">
                  <c:v>YPFD-AR</c:v>
                </c:pt>
                <c:pt idx="5">
                  <c:v>PETR4-BR</c:v>
                </c:pt>
                <c:pt idx="6">
                  <c:v>ECOPETROL-CO</c:v>
                </c:pt>
                <c:pt idx="7">
                  <c:v>PAMP-AR</c:v>
                </c:pt>
              </c:strCache>
            </c:strRef>
          </c:cat>
          <c:val>
            <c:numRef>
              <c:f>'VIST Comps &amp; market share'!$F$69:$F$77</c:f>
              <c:numCache>
                <c:formatCode>#,##0</c:formatCode>
                <c:ptCount val="9"/>
                <c:pt idx="0">
                  <c:v>1168.7739999999999</c:v>
                </c:pt>
                <c:pt idx="1">
                  <c:v>2383.4487126280401</c:v>
                </c:pt>
                <c:pt idx="2">
                  <c:v>563.44913909331001</c:v>
                </c:pt>
                <c:pt idx="3">
                  <c:v>756.625</c:v>
                </c:pt>
                <c:pt idx="4">
                  <c:v>18296.0199164962</c:v>
                </c:pt>
                <c:pt idx="5">
                  <c:v>102503.757876456</c:v>
                </c:pt>
                <c:pt idx="6">
                  <c:v>28466.475600396599</c:v>
                </c:pt>
                <c:pt idx="7">
                  <c:v>1744.8237075996601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C-4AE4-A4FF-2B50265D2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Q2 2024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('Production Breakdown'!$A$4:$A$9,'Production Breakdown'!$A$11:$A$17)</c:f>
              <c:strCache>
                <c:ptCount val="13"/>
                <c:pt idx="0">
                  <c:v>Bajada del Palo Oeste</c:v>
                </c:pt>
                <c:pt idx="1">
                  <c:v>Bajada del Palo Este</c:v>
                </c:pt>
                <c:pt idx="2">
                  <c:v>Coirón Amargo Norte</c:v>
                </c:pt>
                <c:pt idx="3">
                  <c:v>Águila Mora</c:v>
                </c:pt>
                <c:pt idx="4">
                  <c:v>Aguada Federal(3)</c:v>
                </c:pt>
                <c:pt idx="5">
                  <c:v>Bandurria Norte(3)</c:v>
                </c:pt>
                <c:pt idx="6">
                  <c:v>Charco del Palenque(1) (6)</c:v>
                </c:pt>
                <c:pt idx="7">
                  <c:v>Jarilla Quemada(1) (6)</c:v>
                </c:pt>
                <c:pt idx="8">
                  <c:v>Jagüel de los Machos(6)</c:v>
                </c:pt>
                <c:pt idx="9">
                  <c:v>25 de Mayo-Medanito(6)</c:v>
                </c:pt>
                <c:pt idx="10">
                  <c:v>Entre Lomas Río Negro(6)</c:v>
                </c:pt>
                <c:pt idx="11">
                  <c:v>Entre Lomas Neuquén(6)</c:v>
                </c:pt>
                <c:pt idx="12">
                  <c:v>Coirón Amargo Sur Oeste(2)</c:v>
                </c:pt>
              </c:strCache>
            </c:strRef>
          </c:cat>
          <c:val>
            <c:numRef>
              <c:f>('Production Breakdown'!$E$4:$E$9,'Production Breakdown'!$E$11:$E$17,'Production Breakdown'!$E$19)</c:f>
              <c:numCache>
                <c:formatCode>General</c:formatCode>
                <c:ptCount val="14"/>
                <c:pt idx="0">
                  <c:v>50.8</c:v>
                </c:pt>
                <c:pt idx="1">
                  <c:v>6</c:v>
                </c:pt>
                <c:pt idx="2">
                  <c:v>0.1</c:v>
                </c:pt>
                <c:pt idx="3">
                  <c:v>1</c:v>
                </c:pt>
                <c:pt idx="4">
                  <c:v>2.8</c:v>
                </c:pt>
                <c:pt idx="5">
                  <c:v>0</c:v>
                </c:pt>
                <c:pt idx="6">
                  <c:v>0.2</c:v>
                </c:pt>
                <c:pt idx="8">
                  <c:v>0.9</c:v>
                </c:pt>
                <c:pt idx="9">
                  <c:v>0.8</c:v>
                </c:pt>
                <c:pt idx="10">
                  <c:v>2.1</c:v>
                </c:pt>
                <c:pt idx="1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3-4BF6-A378-CE1546985CF0}"/>
            </c:ext>
          </c:extLst>
        </c:ser>
        <c:ser>
          <c:idx val="1"/>
          <c:order val="1"/>
          <c:tx>
            <c:v>2023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('Production Breakdown'!$A$4:$A$9,'Production Breakdown'!$A$11:$A$17)</c:f>
              <c:strCache>
                <c:ptCount val="13"/>
                <c:pt idx="0">
                  <c:v>Bajada del Palo Oeste</c:v>
                </c:pt>
                <c:pt idx="1">
                  <c:v>Bajada del Palo Este</c:v>
                </c:pt>
                <c:pt idx="2">
                  <c:v>Coirón Amargo Norte</c:v>
                </c:pt>
                <c:pt idx="3">
                  <c:v>Águila Mora</c:v>
                </c:pt>
                <c:pt idx="4">
                  <c:v>Aguada Federal(3)</c:v>
                </c:pt>
                <c:pt idx="5">
                  <c:v>Bandurria Norte(3)</c:v>
                </c:pt>
                <c:pt idx="6">
                  <c:v>Charco del Palenque(1) (6)</c:v>
                </c:pt>
                <c:pt idx="7">
                  <c:v>Jarilla Quemada(1) (6)</c:v>
                </c:pt>
                <c:pt idx="8">
                  <c:v>Jagüel de los Machos(6)</c:v>
                </c:pt>
                <c:pt idx="9">
                  <c:v>25 de Mayo-Medanito(6)</c:v>
                </c:pt>
                <c:pt idx="10">
                  <c:v>Entre Lomas Río Negro(6)</c:v>
                </c:pt>
                <c:pt idx="11">
                  <c:v>Entre Lomas Neuquén(6)</c:v>
                </c:pt>
                <c:pt idx="12">
                  <c:v>Coirón Amargo Sur Oeste(2)</c:v>
                </c:pt>
              </c:strCache>
            </c:strRef>
          </c:cat>
          <c:val>
            <c:numRef>
              <c:f>('Production Breakdown'!$F$4:$F$9,'Production Breakdown'!$F$11:$F$17,'Production Breakdown'!$F$19)</c:f>
              <c:numCache>
                <c:formatCode>General</c:formatCode>
                <c:ptCount val="14"/>
                <c:pt idx="0">
                  <c:v>28.7</c:v>
                </c:pt>
                <c:pt idx="1">
                  <c:v>4.4000000000000004</c:v>
                </c:pt>
                <c:pt idx="2">
                  <c:v>0.2</c:v>
                </c:pt>
                <c:pt idx="3">
                  <c:v>1.2</c:v>
                </c:pt>
                <c:pt idx="4">
                  <c:v>4.5999999999999996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  <c:pt idx="8">
                  <c:v>1.1000000000000001</c:v>
                </c:pt>
                <c:pt idx="9">
                  <c:v>1</c:v>
                </c:pt>
                <c:pt idx="10">
                  <c:v>1</c:v>
                </c:pt>
                <c:pt idx="11">
                  <c:v>0.4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3-4BF6-A378-CE1546985CF0}"/>
            </c:ext>
          </c:extLst>
        </c:ser>
        <c:ser>
          <c:idx val="2"/>
          <c:order val="2"/>
          <c:tx>
            <c:v>2022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('Production Breakdown'!$A$4:$A$9,'Production Breakdown'!$A$11:$A$17)</c:f>
              <c:strCache>
                <c:ptCount val="13"/>
                <c:pt idx="0">
                  <c:v>Bajada del Palo Oeste</c:v>
                </c:pt>
                <c:pt idx="1">
                  <c:v>Bajada del Palo Este</c:v>
                </c:pt>
                <c:pt idx="2">
                  <c:v>Coirón Amargo Norte</c:v>
                </c:pt>
                <c:pt idx="3">
                  <c:v>Águila Mora</c:v>
                </c:pt>
                <c:pt idx="4">
                  <c:v>Aguada Federal(3)</c:v>
                </c:pt>
                <c:pt idx="5">
                  <c:v>Bandurria Norte(3)</c:v>
                </c:pt>
                <c:pt idx="6">
                  <c:v>Charco del Palenque(1) (6)</c:v>
                </c:pt>
                <c:pt idx="7">
                  <c:v>Jarilla Quemada(1) (6)</c:v>
                </c:pt>
                <c:pt idx="8">
                  <c:v>Jagüel de los Machos(6)</c:v>
                </c:pt>
                <c:pt idx="9">
                  <c:v>25 de Mayo-Medanito(6)</c:v>
                </c:pt>
                <c:pt idx="10">
                  <c:v>Entre Lomas Río Negro(6)</c:v>
                </c:pt>
                <c:pt idx="11">
                  <c:v>Entre Lomas Neuquén(6)</c:v>
                </c:pt>
                <c:pt idx="12">
                  <c:v>Coirón Amargo Sur Oeste(2)</c:v>
                </c:pt>
              </c:strCache>
            </c:strRef>
          </c:cat>
          <c:val>
            <c:numRef>
              <c:f>('Production Breakdown'!$G$4:$G$9,'Production Breakdown'!$G$11:$G$17,'Production Breakdown'!$G$19)</c:f>
              <c:numCache>
                <c:formatCode>General</c:formatCode>
                <c:ptCount val="14"/>
                <c:pt idx="0">
                  <c:v>26.4</c:v>
                </c:pt>
                <c:pt idx="1">
                  <c:v>2.5</c:v>
                </c:pt>
                <c:pt idx="2">
                  <c:v>0.2</c:v>
                </c:pt>
                <c:pt idx="3">
                  <c:v>0</c:v>
                </c:pt>
                <c:pt idx="4">
                  <c:v>2.5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2.4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93-4BF6-A378-CE1546985CF0}"/>
            </c:ext>
          </c:extLst>
        </c:ser>
        <c:ser>
          <c:idx val="3"/>
          <c:order val="3"/>
          <c:tx>
            <c:strRef>
              <c:f>'Production Breakdown'!$H$2</c:f>
              <c:strCache>
                <c:ptCount val="1"/>
                <c:pt idx="0">
                  <c:v>Average net oil production for the year ended December 31, 2021 (Mbbl/d)(5)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('Production Breakdown'!$A$4:$A$9,'Production Breakdown'!$A$11:$A$17)</c:f>
              <c:strCache>
                <c:ptCount val="13"/>
                <c:pt idx="0">
                  <c:v>Bajada del Palo Oeste</c:v>
                </c:pt>
                <c:pt idx="1">
                  <c:v>Bajada del Palo Este</c:v>
                </c:pt>
                <c:pt idx="2">
                  <c:v>Coirón Amargo Norte</c:v>
                </c:pt>
                <c:pt idx="3">
                  <c:v>Águila Mora</c:v>
                </c:pt>
                <c:pt idx="4">
                  <c:v>Aguada Federal(3)</c:v>
                </c:pt>
                <c:pt idx="5">
                  <c:v>Bandurria Norte(3)</c:v>
                </c:pt>
                <c:pt idx="6">
                  <c:v>Charco del Palenque(1) (6)</c:v>
                </c:pt>
                <c:pt idx="7">
                  <c:v>Jarilla Quemada(1) (6)</c:v>
                </c:pt>
                <c:pt idx="8">
                  <c:v>Jagüel de los Machos(6)</c:v>
                </c:pt>
                <c:pt idx="9">
                  <c:v>25 de Mayo-Medanito(6)</c:v>
                </c:pt>
                <c:pt idx="10">
                  <c:v>Entre Lomas Río Negro(6)</c:v>
                </c:pt>
                <c:pt idx="11">
                  <c:v>Entre Lomas Neuquén(6)</c:v>
                </c:pt>
                <c:pt idx="12">
                  <c:v>Coirón Amargo Sur Oeste(2)</c:v>
                </c:pt>
              </c:strCache>
            </c:strRef>
          </c:cat>
          <c:val>
            <c:numRef>
              <c:f>('Production Breakdown'!$H$4:$H$9,'Production Breakdown'!$H$11:$H$17,'Production Breakdown'!$H$19)</c:f>
              <c:numCache>
                <c:formatCode>General</c:formatCode>
                <c:ptCount val="14"/>
                <c:pt idx="0">
                  <c:v>20.8</c:v>
                </c:pt>
                <c:pt idx="1">
                  <c:v>0.4</c:v>
                </c:pt>
                <c:pt idx="2">
                  <c:v>0.3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2.4</c:v>
                </c:pt>
                <c:pt idx="11">
                  <c:v>1.1000000000000001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93-4BF6-A378-CE1546985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6585423"/>
        <c:axId val="656575823"/>
      </c:barChart>
      <c:catAx>
        <c:axId val="65658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75823"/>
        <c:crosses val="autoZero"/>
        <c:auto val="1"/>
        <c:lblAlgn val="ctr"/>
        <c:lblOffset val="100"/>
        <c:noMultiLvlLbl val="0"/>
      </c:catAx>
      <c:valAx>
        <c:axId val="65657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8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27214</xdr:colOff>
      <xdr:row>54</xdr:row>
      <xdr:rowOff>54428</xdr:rowOff>
    </xdr:from>
    <xdr:to>
      <xdr:col>37</xdr:col>
      <xdr:colOff>38100</xdr:colOff>
      <xdr:row>110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FF4F2-B5BA-491E-B2F9-493CF89E5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1876425</xdr:colOff>
      <xdr:row>31</xdr:row>
      <xdr:rowOff>85725</xdr:rowOff>
    </xdr:from>
    <xdr:to>
      <xdr:col>19</xdr:col>
      <xdr:colOff>430713</xdr:colOff>
      <xdr:row>42</xdr:row>
      <xdr:rowOff>324229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1C0816-99C9-442F-9197-F1E4F7C4C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7925" y="5991225"/>
          <a:ext cx="10945753" cy="2715004"/>
        </a:xfrm>
        <a:prstGeom prst="rect">
          <a:avLst/>
        </a:prstGeom>
      </xdr:spPr>
    </xdr:pic>
    <xdr:clientData/>
  </xdr:twoCellAnchor>
  <xdr:twoCellAnchor editAs="oneCell">
    <xdr:from>
      <xdr:col>2</xdr:col>
      <xdr:colOff>1265465</xdr:colOff>
      <xdr:row>53</xdr:row>
      <xdr:rowOff>95249</xdr:rowOff>
    </xdr:from>
    <xdr:to>
      <xdr:col>6</xdr:col>
      <xdr:colOff>1971530</xdr:colOff>
      <xdr:row>73</xdr:row>
      <xdr:rowOff>162465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DA3FC1-4D01-4608-99FE-EF2EC02C4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5715" y="10953749"/>
          <a:ext cx="8707065" cy="38772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201082</xdr:colOff>
      <xdr:row>10</xdr:row>
      <xdr:rowOff>131234</xdr:rowOff>
    </xdr:from>
    <xdr:to>
      <xdr:col>17</xdr:col>
      <xdr:colOff>95248</xdr:colOff>
      <xdr:row>27</xdr:row>
      <xdr:rowOff>74083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F18D23-F1C2-D66A-0A54-E08337090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0498-1961-48AD-89FC-78B3DDE1DF93}">
  <dimension ref="A1:B1"/>
  <sheetViews>
    <sheetView workbookViewId="0"/>
  </sheetViews>
  <sheetFormatPr defaultRowHeight="15" x14ac:dyDescent="0.25"/>
  <sheetData>
    <row r="1" spans="1:2" x14ac:dyDescent="0.25">
      <c r="B1" t="s">
        <v>354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C9C2-060A-4926-B02B-4179CB9DDC14}">
  <dimension ref="A2:X75"/>
  <sheetViews>
    <sheetView zoomScale="85" zoomScaleNormal="85" workbookViewId="0">
      <selection activeCell="P19" sqref="P19"/>
    </sheetView>
  </sheetViews>
  <sheetFormatPr defaultRowHeight="15" x14ac:dyDescent="0.25"/>
  <cols>
    <col min="1" max="1" width="30" style="19" customWidth="1"/>
    <col min="2" max="13" width="12.28515625" customWidth="1"/>
    <col min="14" max="14" width="12.28515625" style="19" customWidth="1"/>
    <col min="15" max="15" width="11.28515625" style="19" bestFit="1" customWidth="1"/>
    <col min="16" max="16" width="11.28515625" style="19" customWidth="1"/>
    <col min="17" max="18" width="11.28515625" style="19" bestFit="1" customWidth="1"/>
    <col min="19" max="19" width="12.140625" style="19" bestFit="1" customWidth="1"/>
    <col min="20" max="20" width="10.5703125" style="19" customWidth="1"/>
    <col min="21" max="23" width="10.5703125" style="19" bestFit="1" customWidth="1"/>
    <col min="24" max="24" width="12.140625" style="19" bestFit="1" customWidth="1"/>
    <col min="25" max="16384" width="9.140625" style="19"/>
  </cols>
  <sheetData>
    <row r="2" spans="1:14" x14ac:dyDescent="0.25">
      <c r="B2" s="25" t="s">
        <v>99</v>
      </c>
      <c r="C2" s="25" t="s">
        <v>51</v>
      </c>
      <c r="D2" s="25" t="s">
        <v>50</v>
      </c>
      <c r="E2" s="25" t="s">
        <v>49</v>
      </c>
      <c r="F2" s="25" t="s">
        <v>48</v>
      </c>
      <c r="G2" s="25" t="s">
        <v>97</v>
      </c>
      <c r="H2" s="3" t="s">
        <v>47</v>
      </c>
      <c r="I2" s="3" t="s">
        <v>46</v>
      </c>
      <c r="J2" s="25" t="s">
        <v>45</v>
      </c>
      <c r="K2" s="25" t="s">
        <v>44</v>
      </c>
      <c r="L2" s="25" t="s">
        <v>96</v>
      </c>
      <c r="M2" s="3" t="s">
        <v>42</v>
      </c>
      <c r="N2" s="3" t="s">
        <v>43</v>
      </c>
    </row>
    <row r="3" spans="1:14" x14ac:dyDescent="0.25">
      <c r="B3" s="387" t="s">
        <v>95</v>
      </c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</row>
    <row r="4" spans="1:14" s="22" customFormat="1" ht="30" x14ac:dyDescent="0.25">
      <c r="A4" s="24" t="s">
        <v>94</v>
      </c>
      <c r="B4" s="23">
        <v>665310</v>
      </c>
      <c r="C4" s="13">
        <v>207920</v>
      </c>
      <c r="D4" s="13">
        <v>294293</v>
      </c>
      <c r="E4" s="13">
        <v>333502</v>
      </c>
      <c r="F4" s="13">
        <v>320296</v>
      </c>
      <c r="G4" s="23">
        <v>1187660</v>
      </c>
      <c r="H4" s="13">
        <v>317190</v>
      </c>
      <c r="I4" s="13">
        <v>239628</v>
      </c>
      <c r="J4" s="13">
        <v>289686</v>
      </c>
      <c r="K4" s="13">
        <v>309196</v>
      </c>
      <c r="L4" s="23">
        <v>1168774</v>
      </c>
      <c r="M4" s="13">
        <v>317352</v>
      </c>
      <c r="N4" s="13">
        <v>396715</v>
      </c>
    </row>
    <row r="5" spans="1:14" x14ac:dyDescent="0.25">
      <c r="A5" s="19" t="s">
        <v>93</v>
      </c>
      <c r="B5" s="19"/>
      <c r="G5" s="19"/>
      <c r="H5" s="19"/>
      <c r="I5" s="19"/>
      <c r="L5" s="19"/>
      <c r="M5" s="19"/>
    </row>
    <row r="6" spans="1:14" x14ac:dyDescent="0.25">
      <c r="A6" s="19" t="s">
        <v>92</v>
      </c>
      <c r="B6" s="20">
        <v>-107123</v>
      </c>
      <c r="C6" s="4">
        <v>-30839</v>
      </c>
      <c r="D6" s="4">
        <v>-31729</v>
      </c>
      <c r="E6" s="4">
        <v>-34704</v>
      </c>
      <c r="F6" s="4">
        <v>-36113</v>
      </c>
      <c r="G6" s="20">
        <v>-133385</v>
      </c>
      <c r="H6" s="4">
        <v>-30144</v>
      </c>
      <c r="I6" s="4">
        <v>-20347</v>
      </c>
      <c r="J6" s="4">
        <v>-21924</v>
      </c>
      <c r="K6" s="4">
        <v>-22270</v>
      </c>
      <c r="L6" s="20">
        <v>-94685</v>
      </c>
      <c r="M6" s="4">
        <v>-21618</v>
      </c>
      <c r="N6" s="4">
        <v>-26738</v>
      </c>
    </row>
    <row r="7" spans="1:14" x14ac:dyDescent="0.25">
      <c r="A7" s="19" t="s">
        <v>91</v>
      </c>
      <c r="B7" s="20">
        <v>-905</v>
      </c>
      <c r="C7" s="4">
        <v>2655</v>
      </c>
      <c r="D7" s="4">
        <v>-3306</v>
      </c>
      <c r="E7" s="4">
        <v>-4571</v>
      </c>
      <c r="F7" s="4">
        <v>4722</v>
      </c>
      <c r="G7" s="20">
        <v>-500</v>
      </c>
      <c r="H7" s="4">
        <v>-4722</v>
      </c>
      <c r="I7" s="4">
        <v>2130</v>
      </c>
      <c r="J7" s="4">
        <v>-1209</v>
      </c>
      <c r="K7" s="4">
        <v>1743</v>
      </c>
      <c r="L7" s="20">
        <v>-2058</v>
      </c>
      <c r="M7" s="4">
        <v>1209</v>
      </c>
      <c r="N7" s="4">
        <v>3654</v>
      </c>
    </row>
    <row r="8" spans="1:14" ht="30" x14ac:dyDescent="0.25">
      <c r="A8" s="21" t="s">
        <v>18</v>
      </c>
      <c r="B8" s="20">
        <v>-191313</v>
      </c>
      <c r="C8" s="4">
        <v>-46822</v>
      </c>
      <c r="D8" s="4">
        <v>-57982</v>
      </c>
      <c r="E8" s="4">
        <v>-66910</v>
      </c>
      <c r="F8" s="4">
        <v>-63148</v>
      </c>
      <c r="G8" s="20">
        <v>-234862</v>
      </c>
      <c r="H8" s="4">
        <v>-64372</v>
      </c>
      <c r="I8" s="4">
        <v>-62447</v>
      </c>
      <c r="J8" s="4">
        <v>-70600</v>
      </c>
      <c r="K8" s="4">
        <v>-79011</v>
      </c>
      <c r="L8" s="20">
        <v>-276430</v>
      </c>
      <c r="M8" s="4">
        <v>-82373</v>
      </c>
      <c r="N8" s="4">
        <v>-101005</v>
      </c>
    </row>
    <row r="9" spans="1:14" x14ac:dyDescent="0.25">
      <c r="A9" s="21"/>
      <c r="B9" s="340">
        <f>B8/B4</f>
        <v>-0.28755467376110383</v>
      </c>
      <c r="C9" s="339">
        <f t="shared" ref="C9:N9" si="0">C8/C4</f>
        <v>-0.22519238168526357</v>
      </c>
      <c r="D9" s="339">
        <f t="shared" si="0"/>
        <v>-0.19702133587954862</v>
      </c>
      <c r="E9" s="339">
        <f t="shared" si="0"/>
        <v>-0.200628481988114</v>
      </c>
      <c r="F9" s="339">
        <f t="shared" si="0"/>
        <v>-0.19715513150335939</v>
      </c>
      <c r="G9" s="340">
        <f>G8/G4</f>
        <v>-0.19775188185170839</v>
      </c>
      <c r="H9" s="339">
        <f t="shared" si="0"/>
        <v>-0.20294460733314418</v>
      </c>
      <c r="I9" s="339">
        <f t="shared" si="0"/>
        <v>-0.26059976296593051</v>
      </c>
      <c r="J9" s="339">
        <f t="shared" si="0"/>
        <v>-0.24371215730135387</v>
      </c>
      <c r="K9" s="339">
        <f t="shared" si="0"/>
        <v>-0.25553694096948215</v>
      </c>
      <c r="L9" s="340">
        <f t="shared" si="0"/>
        <v>-0.23651279032558903</v>
      </c>
      <c r="M9" s="339">
        <f t="shared" si="0"/>
        <v>-0.25956351307065972</v>
      </c>
      <c r="N9" s="339">
        <f t="shared" si="0"/>
        <v>-0.2546034306744136</v>
      </c>
    </row>
    <row r="10" spans="1:14" x14ac:dyDescent="0.25">
      <c r="A10" s="21"/>
      <c r="B10" s="20"/>
      <c r="C10" s="4"/>
      <c r="D10" s="4"/>
      <c r="E10" s="4"/>
      <c r="F10" s="4"/>
      <c r="G10" s="20"/>
      <c r="H10" s="4"/>
      <c r="I10" s="4"/>
      <c r="J10" s="4"/>
      <c r="K10" s="4"/>
      <c r="L10" s="20"/>
      <c r="M10" s="4"/>
      <c r="N10" s="4"/>
    </row>
    <row r="11" spans="1:14" x14ac:dyDescent="0.25">
      <c r="A11" s="19" t="s">
        <v>90</v>
      </c>
      <c r="B11" s="20">
        <v>-99364</v>
      </c>
      <c r="C11" s="4">
        <v>-29177</v>
      </c>
      <c r="D11" s="4">
        <v>-37079</v>
      </c>
      <c r="E11" s="4">
        <v>-39171</v>
      </c>
      <c r="F11" s="4">
        <v>-51601</v>
      </c>
      <c r="G11" s="20">
        <v>-188677</v>
      </c>
      <c r="H11" s="4">
        <v>-48972</v>
      </c>
      <c r="I11" s="4">
        <v>-36593</v>
      </c>
      <c r="J11" s="4">
        <v>-31581</v>
      </c>
      <c r="K11" s="4">
        <v>-46593</v>
      </c>
      <c r="L11" s="20">
        <v>-176813</v>
      </c>
      <c r="M11" s="4">
        <v>-44782</v>
      </c>
      <c r="N11" s="4">
        <v>-56790</v>
      </c>
    </row>
    <row r="12" spans="1:14" ht="45" x14ac:dyDescent="0.25">
      <c r="A12" s="21" t="s">
        <v>89</v>
      </c>
      <c r="B12" s="19" t="s">
        <v>81</v>
      </c>
      <c r="C12" s="1" t="s">
        <v>98</v>
      </c>
      <c r="D12" s="1" t="s">
        <v>98</v>
      </c>
      <c r="E12" s="1" t="s">
        <v>81</v>
      </c>
      <c r="F12" s="1" t="s">
        <v>81</v>
      </c>
      <c r="G12" s="19" t="s">
        <v>81</v>
      </c>
      <c r="H12" s="4">
        <v>-3233</v>
      </c>
      <c r="I12" s="4">
        <v>-6165</v>
      </c>
      <c r="J12" s="4">
        <v>-10169</v>
      </c>
      <c r="K12" s="4">
        <v>-7972</v>
      </c>
      <c r="L12" s="20">
        <v>-27539</v>
      </c>
      <c r="M12" s="4">
        <v>-9105</v>
      </c>
      <c r="N12" s="4">
        <v>-7792</v>
      </c>
    </row>
    <row r="13" spans="1:14" x14ac:dyDescent="0.25">
      <c r="B13" s="19"/>
      <c r="G13" s="19"/>
      <c r="L13" s="19"/>
      <c r="N13"/>
    </row>
    <row r="14" spans="1:14" s="22" customFormat="1" x14ac:dyDescent="0.25">
      <c r="A14" s="22" t="s">
        <v>88</v>
      </c>
      <c r="B14" s="23">
        <v>266605</v>
      </c>
      <c r="C14" s="13">
        <v>103737</v>
      </c>
      <c r="D14" s="13">
        <v>164197</v>
      </c>
      <c r="E14" s="13">
        <v>188146</v>
      </c>
      <c r="F14" s="13">
        <v>174156</v>
      </c>
      <c r="G14" s="23">
        <v>630236</v>
      </c>
      <c r="H14" s="13">
        <v>165747</v>
      </c>
      <c r="I14" s="13">
        <v>116206</v>
      </c>
      <c r="J14" s="13">
        <v>154203</v>
      </c>
      <c r="K14" s="13">
        <v>155093</v>
      </c>
      <c r="L14" s="23">
        <v>591249</v>
      </c>
      <c r="M14" s="13">
        <v>160683</v>
      </c>
      <c r="N14" s="13">
        <v>208044</v>
      </c>
    </row>
    <row r="15" spans="1:14" x14ac:dyDescent="0.25">
      <c r="B15" s="19"/>
      <c r="G15" s="19"/>
      <c r="L15" s="19"/>
      <c r="N15"/>
    </row>
    <row r="16" spans="1:14" x14ac:dyDescent="0.25">
      <c r="A16" s="19" t="s">
        <v>87</v>
      </c>
      <c r="B16" s="20">
        <v>-42748</v>
      </c>
      <c r="C16" s="4">
        <v>-12566</v>
      </c>
      <c r="D16" s="4">
        <v>-14444</v>
      </c>
      <c r="E16" s="4">
        <v>-14047</v>
      </c>
      <c r="F16" s="4">
        <v>-18847</v>
      </c>
      <c r="G16" s="20">
        <v>-59904</v>
      </c>
      <c r="H16" s="4">
        <v>-16717</v>
      </c>
      <c r="I16" s="4">
        <v>-15232</v>
      </c>
      <c r="J16" s="4">
        <v>-17673</v>
      </c>
      <c r="K16" s="4">
        <v>-19170</v>
      </c>
      <c r="L16" s="20">
        <v>-68792</v>
      </c>
      <c r="M16" s="4">
        <v>-18839</v>
      </c>
      <c r="N16" s="4">
        <v>-22140</v>
      </c>
    </row>
    <row r="17" spans="1:15" ht="30" x14ac:dyDescent="0.25">
      <c r="A17" s="21" t="s">
        <v>86</v>
      </c>
      <c r="B17" s="20">
        <v>-45858</v>
      </c>
      <c r="C17" s="4">
        <v>-12463</v>
      </c>
      <c r="D17" s="4">
        <v>-15888</v>
      </c>
      <c r="E17" s="4">
        <v>-15860</v>
      </c>
      <c r="F17" s="4">
        <v>-19615</v>
      </c>
      <c r="G17" s="20">
        <v>-63826</v>
      </c>
      <c r="H17" s="4">
        <v>-17011</v>
      </c>
      <c r="I17" s="4">
        <v>-19776</v>
      </c>
      <c r="J17" s="4">
        <v>-15031</v>
      </c>
      <c r="K17" s="4">
        <v>-18665</v>
      </c>
      <c r="L17" s="20">
        <v>-70483</v>
      </c>
      <c r="M17" s="4">
        <v>-22110</v>
      </c>
      <c r="N17" s="4">
        <v>-22390</v>
      </c>
    </row>
    <row r="18" spans="1:15" x14ac:dyDescent="0.25">
      <c r="A18" s="19" t="s">
        <v>85</v>
      </c>
      <c r="B18" s="20">
        <v>-561</v>
      </c>
      <c r="C18" s="4">
        <v>-205</v>
      </c>
      <c r="D18" s="4">
        <v>-187</v>
      </c>
      <c r="E18" s="4">
        <v>-175</v>
      </c>
      <c r="F18" s="4">
        <v>-169</v>
      </c>
      <c r="G18" s="20">
        <v>-736</v>
      </c>
      <c r="H18" s="4">
        <v>-222</v>
      </c>
      <c r="I18" s="4">
        <v>-294</v>
      </c>
      <c r="J18" s="1">
        <v>148</v>
      </c>
      <c r="K18" s="1">
        <v>352</v>
      </c>
      <c r="L18" s="20">
        <v>-16</v>
      </c>
      <c r="M18" s="4">
        <v>-31</v>
      </c>
      <c r="N18" s="4">
        <v>-2</v>
      </c>
    </row>
    <row r="19" spans="1:15" x14ac:dyDescent="0.25">
      <c r="A19" s="19" t="s">
        <v>84</v>
      </c>
      <c r="B19" s="20">
        <v>23285</v>
      </c>
      <c r="C19" s="4">
        <v>2765</v>
      </c>
      <c r="D19" s="4">
        <v>10955</v>
      </c>
      <c r="E19" s="4">
        <v>9263</v>
      </c>
      <c r="F19" s="4">
        <v>3715</v>
      </c>
      <c r="G19" s="20">
        <v>26698</v>
      </c>
      <c r="H19" s="4">
        <v>95315</v>
      </c>
      <c r="I19" s="4">
        <v>2268</v>
      </c>
      <c r="J19" s="4">
        <v>23849</v>
      </c>
      <c r="K19" s="4">
        <v>83639</v>
      </c>
      <c r="L19" s="20">
        <v>203812</v>
      </c>
      <c r="M19" s="4">
        <v>9497</v>
      </c>
      <c r="N19" s="4">
        <v>16987</v>
      </c>
    </row>
    <row r="20" spans="1:15" x14ac:dyDescent="0.25">
      <c r="A20" s="19" t="s">
        <v>83</v>
      </c>
      <c r="B20" s="20">
        <v>-4214</v>
      </c>
      <c r="C20" s="4">
        <v>-1260</v>
      </c>
      <c r="D20" s="4">
        <v>-782</v>
      </c>
      <c r="E20" s="4">
        <v>-564</v>
      </c>
      <c r="F20" s="4">
        <v>-715</v>
      </c>
      <c r="G20" s="20">
        <v>-3321</v>
      </c>
      <c r="H20" s="4">
        <v>-963</v>
      </c>
      <c r="I20" s="4">
        <v>-4</v>
      </c>
      <c r="J20" s="1">
        <v>153</v>
      </c>
      <c r="K20" s="4">
        <v>-143</v>
      </c>
      <c r="L20" s="19">
        <v>302</v>
      </c>
      <c r="M20" s="4">
        <v>-115</v>
      </c>
      <c r="N20" s="4">
        <v>-908</v>
      </c>
    </row>
    <row r="21" spans="1:15" ht="30" x14ac:dyDescent="0.25">
      <c r="A21" s="21" t="s">
        <v>82</v>
      </c>
      <c r="B21" s="20">
        <v>14044</v>
      </c>
      <c r="C21" s="4"/>
      <c r="D21" s="4"/>
      <c r="F21" s="1" t="s">
        <v>81</v>
      </c>
      <c r="G21" s="19" t="s">
        <v>81</v>
      </c>
      <c r="K21" s="4">
        <v>-24585</v>
      </c>
      <c r="L21" s="20">
        <v>-24585</v>
      </c>
      <c r="N21"/>
    </row>
    <row r="22" spans="1:15" x14ac:dyDescent="0.25">
      <c r="B22" s="19"/>
      <c r="E22" s="19"/>
      <c r="G22" s="19"/>
      <c r="H22" s="19"/>
      <c r="I22" s="19"/>
      <c r="J22" s="19"/>
      <c r="L22" s="19"/>
      <c r="M22" s="19"/>
    </row>
    <row r="23" spans="1:15" s="22" customFormat="1" x14ac:dyDescent="0.25">
      <c r="A23" s="22" t="s">
        <v>80</v>
      </c>
      <c r="B23" s="23">
        <v>210553</v>
      </c>
      <c r="C23" s="13">
        <v>80008</v>
      </c>
      <c r="D23" s="13">
        <v>143851</v>
      </c>
      <c r="E23" s="13">
        <v>166763</v>
      </c>
      <c r="F23" s="13">
        <v>138525</v>
      </c>
      <c r="G23" s="23">
        <v>529147</v>
      </c>
      <c r="H23" s="13">
        <v>226149</v>
      </c>
      <c r="I23" s="13">
        <v>83168</v>
      </c>
      <c r="J23" s="13">
        <v>145649</v>
      </c>
      <c r="K23" s="13">
        <v>176521</v>
      </c>
      <c r="L23" s="23">
        <v>631487</v>
      </c>
      <c r="M23" s="13">
        <v>129085</v>
      </c>
      <c r="N23" s="13">
        <v>179591</v>
      </c>
    </row>
    <row r="24" spans="1:15" x14ac:dyDescent="0.25">
      <c r="B24" s="19"/>
      <c r="G24" s="19"/>
      <c r="L24" s="19"/>
      <c r="N24"/>
    </row>
    <row r="25" spans="1:15" x14ac:dyDescent="0.25">
      <c r="A25" s="19" t="s">
        <v>79</v>
      </c>
      <c r="B25" s="19">
        <v>65</v>
      </c>
      <c r="C25" s="1">
        <v>16</v>
      </c>
      <c r="D25" s="1">
        <v>74</v>
      </c>
      <c r="E25" s="1">
        <v>294</v>
      </c>
      <c r="F25" s="1">
        <v>425</v>
      </c>
      <c r="G25" s="19">
        <v>809</v>
      </c>
      <c r="H25" s="1">
        <v>287</v>
      </c>
      <c r="I25" s="1">
        <v>216</v>
      </c>
      <c r="J25" s="1">
        <v>299</v>
      </c>
      <c r="K25" s="1">
        <v>433</v>
      </c>
      <c r="L25" s="20">
        <v>1235</v>
      </c>
      <c r="M25" s="1">
        <v>481</v>
      </c>
      <c r="N25" s="4">
        <v>1319</v>
      </c>
    </row>
    <row r="26" spans="1:15" x14ac:dyDescent="0.25">
      <c r="A26" s="19" t="s">
        <v>78</v>
      </c>
      <c r="B26" s="20">
        <v>-50660</v>
      </c>
      <c r="C26" s="4">
        <v>-8232</v>
      </c>
      <c r="D26" s="4">
        <v>-7365</v>
      </c>
      <c r="E26" s="4">
        <v>-6744</v>
      </c>
      <c r="F26" s="4">
        <v>-6545</v>
      </c>
      <c r="G26" s="20">
        <v>-28886</v>
      </c>
      <c r="H26" s="4">
        <v>-6137</v>
      </c>
      <c r="I26" s="4">
        <v>-5226</v>
      </c>
      <c r="J26" s="4">
        <v>-4842</v>
      </c>
      <c r="K26" s="4">
        <v>-5674</v>
      </c>
      <c r="L26" s="20">
        <v>-21879</v>
      </c>
      <c r="M26" s="4">
        <v>-4897</v>
      </c>
      <c r="N26" s="4">
        <v>-11219</v>
      </c>
    </row>
    <row r="27" spans="1:15" ht="30" x14ac:dyDescent="0.25">
      <c r="A27" s="21" t="s">
        <v>77</v>
      </c>
      <c r="B27" s="20">
        <v>-7194</v>
      </c>
      <c r="C27" s="4">
        <v>-28949</v>
      </c>
      <c r="D27" s="4">
        <v>14575</v>
      </c>
      <c r="E27" s="4">
        <v>-29453</v>
      </c>
      <c r="F27" s="4">
        <v>-23729</v>
      </c>
      <c r="G27" s="20">
        <v>-67556</v>
      </c>
      <c r="H27" s="4">
        <v>-14315</v>
      </c>
      <c r="I27" s="4">
        <v>-19967</v>
      </c>
      <c r="J27" s="4">
        <v>-27375</v>
      </c>
      <c r="K27" s="4">
        <v>-3827</v>
      </c>
      <c r="L27" s="20">
        <v>-65484</v>
      </c>
      <c r="M27" s="4">
        <v>-22630</v>
      </c>
      <c r="N27" s="4">
        <v>-130</v>
      </c>
    </row>
    <row r="28" spans="1:15" x14ac:dyDescent="0.25">
      <c r="B28" s="19"/>
      <c r="G28" s="19"/>
      <c r="L28" s="36"/>
      <c r="N28"/>
    </row>
    <row r="29" spans="1:15" s="22" customFormat="1" x14ac:dyDescent="0.25">
      <c r="A29" s="24" t="s">
        <v>76</v>
      </c>
      <c r="B29" s="23">
        <v>-57789</v>
      </c>
      <c r="C29" s="13">
        <v>-37165</v>
      </c>
      <c r="D29" s="13">
        <v>7284</v>
      </c>
      <c r="E29" s="13">
        <v>-35903</v>
      </c>
      <c r="F29" s="13">
        <v>-29849</v>
      </c>
      <c r="G29" s="23">
        <v>-95633</v>
      </c>
      <c r="H29" s="13">
        <v>-20165</v>
      </c>
      <c r="I29" s="13">
        <v>-24977</v>
      </c>
      <c r="J29" s="13">
        <v>-31918</v>
      </c>
      <c r="K29" s="13">
        <v>-9068</v>
      </c>
      <c r="L29" s="23">
        <v>-86128</v>
      </c>
      <c r="M29" s="13">
        <v>-27046</v>
      </c>
      <c r="N29" s="13">
        <v>-10030</v>
      </c>
    </row>
    <row r="30" spans="1:15" x14ac:dyDescent="0.25">
      <c r="B30" s="19"/>
      <c r="G30" s="19"/>
      <c r="L30" s="36"/>
      <c r="N30"/>
    </row>
    <row r="31" spans="1:15" s="22" customFormat="1" x14ac:dyDescent="0.25">
      <c r="A31" s="22" t="s">
        <v>75</v>
      </c>
      <c r="B31" s="23">
        <v>152764</v>
      </c>
      <c r="C31" s="13">
        <v>42843</v>
      </c>
      <c r="D31" s="13">
        <v>151135</v>
      </c>
      <c r="E31" s="13">
        <v>130860</v>
      </c>
      <c r="F31" s="13">
        <v>108676</v>
      </c>
      <c r="G31" s="23">
        <v>433514</v>
      </c>
      <c r="H31" s="13">
        <v>205984</v>
      </c>
      <c r="I31" s="13">
        <v>58191</v>
      </c>
      <c r="J31" s="13">
        <v>113731</v>
      </c>
      <c r="K31" s="13">
        <v>167453</v>
      </c>
      <c r="L31" s="23">
        <v>545359</v>
      </c>
      <c r="M31" s="13">
        <v>102039</v>
      </c>
      <c r="N31" s="13">
        <v>169561</v>
      </c>
      <c r="O31" s="337">
        <f>L23+L29</f>
        <v>545359</v>
      </c>
    </row>
    <row r="32" spans="1:15" x14ac:dyDescent="0.25">
      <c r="B32" s="36"/>
      <c r="G32" s="19"/>
      <c r="L32" s="19"/>
      <c r="N32"/>
    </row>
    <row r="33" spans="1:14" x14ac:dyDescent="0.25">
      <c r="A33" s="19" t="s">
        <v>74</v>
      </c>
      <c r="B33" s="20">
        <v>-62419</v>
      </c>
      <c r="C33" s="4">
        <v>-26559</v>
      </c>
      <c r="D33" s="4">
        <v>-51633</v>
      </c>
      <c r="E33" s="4">
        <v>-68457</v>
      </c>
      <c r="F33" s="4">
        <v>54560</v>
      </c>
      <c r="G33" s="20">
        <v>-92089</v>
      </c>
      <c r="H33" s="4">
        <v>-47568</v>
      </c>
      <c r="I33" s="4">
        <v>-7017</v>
      </c>
      <c r="J33" s="4">
        <v>-1378</v>
      </c>
      <c r="K33" s="4">
        <v>39570</v>
      </c>
      <c r="L33" s="20">
        <v>-16393</v>
      </c>
      <c r="M33" s="4">
        <v>-63789</v>
      </c>
      <c r="N33" s="4">
        <v>-105613</v>
      </c>
    </row>
    <row r="34" spans="1:14" x14ac:dyDescent="0.25">
      <c r="A34" s="19" t="s">
        <v>73</v>
      </c>
      <c r="B34" s="20">
        <v>-39695</v>
      </c>
      <c r="C34" s="4">
        <v>-750</v>
      </c>
      <c r="D34" s="4">
        <v>2334</v>
      </c>
      <c r="E34" s="4">
        <v>14258</v>
      </c>
      <c r="F34" s="4">
        <v>-87732</v>
      </c>
      <c r="G34" s="20">
        <v>-71890</v>
      </c>
      <c r="H34" s="4">
        <v>-29682</v>
      </c>
      <c r="I34" s="4">
        <v>1007</v>
      </c>
      <c r="J34" s="4">
        <v>-29251</v>
      </c>
      <c r="K34" s="4">
        <v>-74085</v>
      </c>
      <c r="L34" s="20">
        <v>-132011</v>
      </c>
      <c r="M34" s="4">
        <v>40401</v>
      </c>
      <c r="N34" s="4">
        <v>75692</v>
      </c>
    </row>
    <row r="35" spans="1:14" x14ac:dyDescent="0.25">
      <c r="B35" s="19"/>
      <c r="G35" s="19"/>
      <c r="L35" s="19"/>
      <c r="N35"/>
    </row>
    <row r="36" spans="1:14" s="22" customFormat="1" x14ac:dyDescent="0.25">
      <c r="A36" s="22" t="s">
        <v>72</v>
      </c>
      <c r="B36" s="23">
        <v>-102114</v>
      </c>
      <c r="C36" s="13">
        <v>-27309</v>
      </c>
      <c r="D36" s="13">
        <v>-49299</v>
      </c>
      <c r="E36" s="13">
        <v>-54199</v>
      </c>
      <c r="F36" s="13">
        <v>-33172</v>
      </c>
      <c r="G36" s="23">
        <v>-163979</v>
      </c>
      <c r="H36" s="13">
        <v>-77250</v>
      </c>
      <c r="I36" s="13">
        <v>-6010</v>
      </c>
      <c r="J36" s="13">
        <v>-30629</v>
      </c>
      <c r="K36" s="13">
        <v>-34515</v>
      </c>
      <c r="L36" s="23">
        <v>-148404</v>
      </c>
      <c r="M36" s="13">
        <v>-23388</v>
      </c>
      <c r="N36" s="13">
        <v>-29921</v>
      </c>
    </row>
    <row r="37" spans="1:14" x14ac:dyDescent="0.25">
      <c r="B37" s="19"/>
      <c r="G37" s="19"/>
      <c r="L37" s="19"/>
      <c r="N37"/>
    </row>
    <row r="38" spans="1:14" s="22" customFormat="1" x14ac:dyDescent="0.25">
      <c r="A38" s="22" t="s">
        <v>71</v>
      </c>
      <c r="B38" s="23">
        <v>50650</v>
      </c>
      <c r="C38" s="13">
        <v>15534</v>
      </c>
      <c r="D38" s="13">
        <v>101836</v>
      </c>
      <c r="E38" s="13">
        <v>76661</v>
      </c>
      <c r="F38" s="13">
        <v>75504</v>
      </c>
      <c r="G38" s="23">
        <v>269535</v>
      </c>
      <c r="H38" s="13">
        <v>128734</v>
      </c>
      <c r="I38" s="13">
        <v>52181</v>
      </c>
      <c r="J38" s="13">
        <v>83102</v>
      </c>
      <c r="K38" s="13">
        <v>132938</v>
      </c>
      <c r="L38" s="23">
        <v>396955</v>
      </c>
      <c r="M38" s="13">
        <v>78651</v>
      </c>
      <c r="N38" s="13">
        <v>139640</v>
      </c>
    </row>
    <row r="39" spans="1:14" x14ac:dyDescent="0.25">
      <c r="B39" s="19"/>
      <c r="G39" s="19"/>
      <c r="L39" s="19"/>
      <c r="N39"/>
    </row>
    <row r="40" spans="1:14" ht="60" x14ac:dyDescent="0.25">
      <c r="A40" s="21" t="s">
        <v>70</v>
      </c>
      <c r="B40" s="19"/>
      <c r="G40" s="19"/>
      <c r="J40" s="19"/>
      <c r="L40" s="19"/>
      <c r="N40"/>
    </row>
    <row r="41" spans="1:14" ht="45" x14ac:dyDescent="0.25">
      <c r="A41" s="21" t="s">
        <v>69</v>
      </c>
      <c r="B41" s="20">
        <v>-4513</v>
      </c>
      <c r="C41" s="4">
        <v>-129</v>
      </c>
      <c r="D41" s="4">
        <v>-3025</v>
      </c>
      <c r="E41" s="4">
        <v>-53</v>
      </c>
      <c r="F41" s="4">
        <v>-974</v>
      </c>
      <c r="G41" s="20">
        <v>-4181</v>
      </c>
      <c r="H41" s="1">
        <v>109</v>
      </c>
      <c r="I41" s="4">
        <v>-1188</v>
      </c>
      <c r="J41" s="1">
        <v>91</v>
      </c>
      <c r="K41" s="4">
        <v>7553</v>
      </c>
      <c r="L41" s="20">
        <v>6565</v>
      </c>
      <c r="M41" s="1">
        <v>49</v>
      </c>
      <c r="N41" s="1">
        <v>17</v>
      </c>
    </row>
    <row r="42" spans="1:14" ht="30" x14ac:dyDescent="0.25">
      <c r="A42" s="21" t="s">
        <v>68</v>
      </c>
      <c r="B42" s="20">
        <v>2048</v>
      </c>
      <c r="C42" s="1">
        <v>45</v>
      </c>
      <c r="D42" s="4">
        <v>1059</v>
      </c>
      <c r="E42" s="1">
        <v>18</v>
      </c>
      <c r="F42" s="1">
        <v>341</v>
      </c>
      <c r="G42" s="20">
        <v>1463</v>
      </c>
      <c r="H42" s="4">
        <v>-38</v>
      </c>
      <c r="I42" s="1">
        <v>415</v>
      </c>
      <c r="J42" s="4">
        <v>-31</v>
      </c>
      <c r="K42" s="4">
        <v>-2644</v>
      </c>
      <c r="L42" s="20">
        <v>-2298</v>
      </c>
      <c r="M42" s="4">
        <v>-17</v>
      </c>
      <c r="N42" s="4">
        <v>-6</v>
      </c>
    </row>
    <row r="43" spans="1:14" x14ac:dyDescent="0.25">
      <c r="B43" s="19"/>
      <c r="G43" s="19"/>
      <c r="L43" s="19"/>
      <c r="N43"/>
    </row>
    <row r="44" spans="1:14" ht="60" x14ac:dyDescent="0.25">
      <c r="A44" s="21" t="s">
        <v>67</v>
      </c>
      <c r="B44" s="20">
        <v>-2465</v>
      </c>
      <c r="C44" s="4">
        <v>-84</v>
      </c>
      <c r="D44" s="4">
        <v>-1966</v>
      </c>
      <c r="E44" s="4">
        <v>-35</v>
      </c>
      <c r="F44" s="4">
        <v>-633</v>
      </c>
      <c r="G44" s="20">
        <v>-2718</v>
      </c>
      <c r="H44" s="1">
        <v>71</v>
      </c>
      <c r="I44" s="4">
        <v>-773</v>
      </c>
      <c r="J44" s="1">
        <v>60</v>
      </c>
      <c r="K44" s="4">
        <v>4909</v>
      </c>
      <c r="L44" s="20">
        <v>4267</v>
      </c>
      <c r="M44" s="1">
        <v>32</v>
      </c>
      <c r="N44" s="1">
        <v>11</v>
      </c>
    </row>
    <row r="45" spans="1:14" x14ac:dyDescent="0.25">
      <c r="B45" s="19"/>
      <c r="G45" s="19"/>
      <c r="L45" s="19"/>
      <c r="N45"/>
    </row>
    <row r="46" spans="1:14" ht="30" x14ac:dyDescent="0.25">
      <c r="A46" s="21" t="s">
        <v>66</v>
      </c>
      <c r="B46" s="20">
        <v>48185</v>
      </c>
      <c r="C46" s="4">
        <v>15450</v>
      </c>
      <c r="D46" s="4">
        <v>99870</v>
      </c>
      <c r="E46" s="4">
        <v>76626</v>
      </c>
      <c r="F46" s="4">
        <v>74871</v>
      </c>
      <c r="G46" s="20">
        <v>266817</v>
      </c>
      <c r="H46" s="4">
        <v>128805</v>
      </c>
      <c r="I46" s="4">
        <v>51408</v>
      </c>
      <c r="J46" s="4">
        <v>83162</v>
      </c>
      <c r="K46" s="4">
        <v>137847</v>
      </c>
      <c r="L46" s="20">
        <v>401222</v>
      </c>
      <c r="M46" s="4">
        <v>78683</v>
      </c>
      <c r="N46" s="4">
        <v>139651</v>
      </c>
    </row>
    <row r="47" spans="1:14" x14ac:dyDescent="0.25">
      <c r="B47" s="19"/>
      <c r="G47" s="19"/>
      <c r="L47" s="19"/>
      <c r="N47"/>
    </row>
    <row r="48" spans="1:14" x14ac:dyDescent="0.25">
      <c r="A48" s="19" t="s">
        <v>65</v>
      </c>
      <c r="B48" s="19"/>
      <c r="G48" s="19"/>
      <c r="L48" s="19"/>
      <c r="N48"/>
    </row>
    <row r="49" spans="1:24" x14ac:dyDescent="0.25">
      <c r="A49" s="21" t="s">
        <v>64</v>
      </c>
      <c r="B49" s="19">
        <v>0.57399999999999995</v>
      </c>
      <c r="C49" s="1">
        <v>0.17499999999999999</v>
      </c>
      <c r="D49" s="1">
        <v>1.151</v>
      </c>
      <c r="E49" s="1">
        <v>0.88600000000000001</v>
      </c>
      <c r="F49" s="1">
        <v>0.86099999999999999</v>
      </c>
      <c r="G49" s="19">
        <v>3.0680000000000001</v>
      </c>
      <c r="H49" s="1">
        <v>1.431</v>
      </c>
      <c r="I49" s="1">
        <v>0.55300000000000005</v>
      </c>
      <c r="J49" s="1">
        <v>0.874</v>
      </c>
      <c r="K49" s="1">
        <v>1.3959999999999999</v>
      </c>
      <c r="L49" s="19">
        <v>4.2370000000000001</v>
      </c>
      <c r="M49" s="1">
        <v>0.81899999999999995</v>
      </c>
      <c r="N49" s="1">
        <v>1.444</v>
      </c>
    </row>
    <row r="50" spans="1:24" ht="30" x14ac:dyDescent="0.25">
      <c r="A50" s="21" t="s">
        <v>63</v>
      </c>
      <c r="B50" s="19">
        <v>0.54300000000000004</v>
      </c>
      <c r="C50" s="1">
        <v>0.16300000000000001</v>
      </c>
      <c r="D50" s="1">
        <v>1.0609999999999999</v>
      </c>
      <c r="E50" s="1">
        <v>0.75</v>
      </c>
      <c r="F50" s="1">
        <v>0.76200000000000001</v>
      </c>
      <c r="G50" s="19">
        <v>2.7549999999999999</v>
      </c>
      <c r="H50" s="1">
        <v>1.3149999999999999</v>
      </c>
      <c r="I50" s="1">
        <v>0.51900000000000002</v>
      </c>
      <c r="J50" s="1">
        <v>0.82099999999999995</v>
      </c>
      <c r="K50" s="1">
        <v>1.3169999999999999</v>
      </c>
      <c r="L50" s="19">
        <v>4</v>
      </c>
      <c r="M50" s="1">
        <v>0.79200000000000004</v>
      </c>
      <c r="N50" s="1">
        <v>1.39</v>
      </c>
    </row>
    <row r="51" spans="1:24" x14ac:dyDescent="0.25">
      <c r="N51" s="20"/>
      <c r="P51"/>
      <c r="Q51"/>
      <c r="R51" s="20"/>
      <c r="S51" s="20"/>
      <c r="T51" s="1"/>
      <c r="U51"/>
      <c r="V51" s="20"/>
      <c r="W51" s="20"/>
      <c r="X51" s="20"/>
    </row>
    <row r="52" spans="1:24" x14ac:dyDescent="0.25">
      <c r="A52" s="60" t="s">
        <v>220</v>
      </c>
      <c r="O52" s="20"/>
      <c r="P52"/>
      <c r="T52"/>
    </row>
    <row r="53" spans="1:24" x14ac:dyDescent="0.25">
      <c r="A53" s="37" t="s">
        <v>218</v>
      </c>
      <c r="B53">
        <v>88242.620999999999</v>
      </c>
      <c r="C53">
        <v>88813.607000000004</v>
      </c>
      <c r="D53">
        <v>88491.744999999995</v>
      </c>
      <c r="E53">
        <v>86508.194000000003</v>
      </c>
      <c r="F53">
        <v>87664.093999999997</v>
      </c>
      <c r="G53">
        <v>87862.531000000003</v>
      </c>
      <c r="H53">
        <v>89937.524999999994</v>
      </c>
      <c r="I53">
        <v>94424.047999999995</v>
      </c>
      <c r="J53">
        <v>95066.657000000007</v>
      </c>
      <c r="K53">
        <v>95218.119000000006</v>
      </c>
      <c r="L53">
        <v>93679.903999999995</v>
      </c>
      <c r="M53">
        <v>95976.063999999998</v>
      </c>
      <c r="N53" s="20">
        <v>96690.12</v>
      </c>
      <c r="R53" s="20"/>
      <c r="S53" s="20"/>
      <c r="V53" s="20"/>
      <c r="W53" s="20"/>
      <c r="X53" s="20"/>
    </row>
    <row r="54" spans="1:24" x14ac:dyDescent="0.25">
      <c r="A54" s="37" t="s">
        <v>219</v>
      </c>
      <c r="B54">
        <v>93273.978000000003</v>
      </c>
      <c r="C54">
        <v>95464.396999999997</v>
      </c>
      <c r="D54">
        <v>96006.634999999995</v>
      </c>
      <c r="E54">
        <v>102150.088</v>
      </c>
      <c r="F54">
        <v>99147.327999999994</v>
      </c>
      <c r="G54">
        <v>97830.538</v>
      </c>
      <c r="H54">
        <v>97920.497000000003</v>
      </c>
      <c r="I54">
        <v>100457.519</v>
      </c>
      <c r="J54">
        <v>101178.62</v>
      </c>
      <c r="K54">
        <v>100968.859</v>
      </c>
      <c r="L54">
        <v>99232.918999999994</v>
      </c>
      <c r="M54">
        <v>99292.985000000001</v>
      </c>
      <c r="N54" s="19">
        <v>100456.94500000001</v>
      </c>
      <c r="O54" s="20"/>
    </row>
    <row r="55" spans="1:24" x14ac:dyDescent="0.25">
      <c r="A55" s="37"/>
    </row>
    <row r="58" spans="1:24" x14ac:dyDescent="0.25">
      <c r="B58" s="25"/>
      <c r="C58" s="25"/>
      <c r="D58" s="25"/>
      <c r="E58" s="25"/>
      <c r="F58" s="25"/>
      <c r="G58" s="25"/>
      <c r="H58" s="3"/>
      <c r="I58" s="3"/>
      <c r="J58" s="25"/>
      <c r="K58" s="25"/>
      <c r="L58" s="25"/>
      <c r="M58" s="3"/>
      <c r="N58" s="3"/>
    </row>
    <row r="59" spans="1:24" x14ac:dyDescent="0.25">
      <c r="A59" s="22" t="s">
        <v>221</v>
      </c>
    </row>
    <row r="60" spans="1:24" x14ac:dyDescent="0.25">
      <c r="A60"/>
      <c r="B60" s="1"/>
      <c r="C60" s="3" t="s">
        <v>316</v>
      </c>
      <c r="D60" t="s">
        <v>317</v>
      </c>
      <c r="E60" t="s">
        <v>318</v>
      </c>
      <c r="F60" t="s">
        <v>319</v>
      </c>
      <c r="G60" t="s">
        <v>99</v>
      </c>
      <c r="H60" s="3" t="s">
        <v>320</v>
      </c>
      <c r="I60" t="s">
        <v>321</v>
      </c>
      <c r="J60" t="s">
        <v>322</v>
      </c>
      <c r="K60" t="s">
        <v>323</v>
      </c>
      <c r="L60" t="s">
        <v>324</v>
      </c>
      <c r="M60" s="3" t="s">
        <v>325</v>
      </c>
      <c r="N60" t="s">
        <v>326</v>
      </c>
      <c r="O60" t="s">
        <v>327</v>
      </c>
      <c r="P60" t="s">
        <v>328</v>
      </c>
      <c r="Q60" t="s">
        <v>329</v>
      </c>
      <c r="R60" s="3" t="s">
        <v>330</v>
      </c>
      <c r="S60" t="s">
        <v>331</v>
      </c>
    </row>
    <row r="61" spans="1:24" x14ac:dyDescent="0.25">
      <c r="A61"/>
      <c r="B61" s="387" t="s">
        <v>95</v>
      </c>
      <c r="C61" s="387"/>
      <c r="D61" s="387"/>
      <c r="E61" s="387"/>
      <c r="F61" s="387"/>
      <c r="G61" s="387"/>
      <c r="H61" s="387"/>
      <c r="I61" s="387"/>
      <c r="J61" s="387"/>
      <c r="K61" s="387"/>
      <c r="L61" s="387"/>
      <c r="M61" s="387"/>
      <c r="N61" s="387"/>
      <c r="O61" s="387"/>
      <c r="P61" s="387"/>
      <c r="Q61" s="387"/>
      <c r="R61" s="387"/>
      <c r="S61" s="387"/>
    </row>
    <row r="62" spans="1:24" x14ac:dyDescent="0.25">
      <c r="A62" s="5" t="s">
        <v>332</v>
      </c>
      <c r="I62" s="16"/>
      <c r="N62"/>
      <c r="O62"/>
      <c r="P62"/>
      <c r="Q62"/>
      <c r="R62"/>
      <c r="S62"/>
    </row>
    <row r="63" spans="1:24" x14ac:dyDescent="0.25">
      <c r="A63" s="1" t="s">
        <v>333</v>
      </c>
      <c r="C63" s="4">
        <v>-30343</v>
      </c>
      <c r="D63" s="4">
        <v>26161</v>
      </c>
      <c r="E63" s="4">
        <v>-7066</v>
      </c>
      <c r="F63" s="4">
        <v>18706</v>
      </c>
      <c r="G63" s="16">
        <v>-46272</v>
      </c>
      <c r="H63" s="4">
        <v>-4818</v>
      </c>
      <c r="I63" s="4">
        <v>-11020</v>
      </c>
      <c r="J63" s="4">
        <v>-34520</v>
      </c>
      <c r="K63" s="4">
        <v>17038</v>
      </c>
      <c r="L63" s="16">
        <v>-46272</v>
      </c>
      <c r="M63" s="4">
        <v>-12854</v>
      </c>
      <c r="N63" s="4">
        <v>-12840</v>
      </c>
      <c r="O63" s="4">
        <v>-91026</v>
      </c>
      <c r="P63" s="4">
        <v>35460</v>
      </c>
      <c r="Q63" s="16">
        <f>SUM(M63:P63)</f>
        <v>-81260</v>
      </c>
      <c r="R63" s="4">
        <v>-116534</v>
      </c>
      <c r="S63" s="4">
        <v>-19796</v>
      </c>
    </row>
    <row r="64" spans="1:24" x14ac:dyDescent="0.25">
      <c r="A64" s="1" t="s">
        <v>334</v>
      </c>
      <c r="C64" s="4">
        <v>3105</v>
      </c>
      <c r="D64" s="4">
        <v>-1761</v>
      </c>
      <c r="E64" s="4">
        <v>-1797</v>
      </c>
      <c r="F64" s="4">
        <v>1362</v>
      </c>
      <c r="G64" s="16">
        <f t="shared" ref="G64:G73" si="1">SUM(C64:F64)</f>
        <v>909</v>
      </c>
      <c r="H64" s="4">
        <v>-2655</v>
      </c>
      <c r="I64" s="4">
        <v>3306</v>
      </c>
      <c r="J64" s="4">
        <v>4571</v>
      </c>
      <c r="K64" s="4">
        <v>-4722</v>
      </c>
      <c r="L64" s="16">
        <f t="shared" ref="L64:L73" si="2">SUM(H64:K64)</f>
        <v>500</v>
      </c>
      <c r="M64" s="4">
        <v>4722</v>
      </c>
      <c r="N64" s="4">
        <v>-2130</v>
      </c>
      <c r="O64" s="4">
        <v>1209</v>
      </c>
      <c r="P64" s="4">
        <v>-1743</v>
      </c>
      <c r="Q64" s="16">
        <f t="shared" ref="Q64:Q70" si="3">SUM(M64:P64)</f>
        <v>2058</v>
      </c>
      <c r="R64" s="4">
        <v>-1209</v>
      </c>
      <c r="S64" s="4">
        <v>-3921</v>
      </c>
    </row>
    <row r="65" spans="1:19" x14ac:dyDescent="0.25">
      <c r="A65" s="1" t="s">
        <v>335</v>
      </c>
      <c r="C65" s="4">
        <v>7736</v>
      </c>
      <c r="D65" s="4">
        <v>3197</v>
      </c>
      <c r="E65" s="4">
        <v>7804</v>
      </c>
      <c r="F65" s="4">
        <v>-2528</v>
      </c>
      <c r="G65" s="16">
        <f t="shared" si="1"/>
        <v>16209</v>
      </c>
      <c r="H65" s="4">
        <v>2551</v>
      </c>
      <c r="I65" s="4">
        <v>5422</v>
      </c>
      <c r="J65" s="4">
        <v>13232</v>
      </c>
      <c r="K65" s="4">
        <v>18978</v>
      </c>
      <c r="L65" s="16">
        <f t="shared" si="2"/>
        <v>40183</v>
      </c>
      <c r="M65" s="4">
        <v>4082</v>
      </c>
      <c r="N65" s="4">
        <v>3975</v>
      </c>
      <c r="O65" s="4">
        <v>24580</v>
      </c>
      <c r="P65" s="4">
        <v>28593</v>
      </c>
      <c r="Q65" s="16">
        <f t="shared" si="3"/>
        <v>61230</v>
      </c>
      <c r="R65" s="4">
        <v>-3854</v>
      </c>
      <c r="S65" s="4">
        <v>16459</v>
      </c>
    </row>
    <row r="66" spans="1:19" x14ac:dyDescent="0.25">
      <c r="A66" s="1" t="s">
        <v>336</v>
      </c>
      <c r="B66" s="1"/>
      <c r="C66" s="4">
        <v>-212</v>
      </c>
      <c r="D66" s="4">
        <v>-68</v>
      </c>
      <c r="E66" s="4">
        <v>-55</v>
      </c>
      <c r="F66" s="4">
        <v>-64</v>
      </c>
      <c r="G66" s="16">
        <f t="shared" si="1"/>
        <v>-399</v>
      </c>
      <c r="H66" s="4">
        <v>-57</v>
      </c>
      <c r="I66" s="4">
        <v>-56</v>
      </c>
      <c r="J66" s="4">
        <v>-73</v>
      </c>
      <c r="K66" s="4">
        <v>-68</v>
      </c>
      <c r="L66" s="16">
        <f t="shared" si="2"/>
        <v>-254</v>
      </c>
      <c r="M66" s="4">
        <v>-75</v>
      </c>
      <c r="N66" s="4">
        <v>-64</v>
      </c>
      <c r="O66" s="4">
        <v>-70</v>
      </c>
      <c r="P66" s="4">
        <v>-74</v>
      </c>
      <c r="Q66" s="16">
        <f t="shared" si="3"/>
        <v>-283</v>
      </c>
      <c r="R66" s="4">
        <v>-57</v>
      </c>
      <c r="S66" s="4">
        <v>-110</v>
      </c>
    </row>
    <row r="67" spans="1:19" x14ac:dyDescent="0.25">
      <c r="A67" s="1" t="s">
        <v>337</v>
      </c>
      <c r="C67" s="4">
        <v>-5722</v>
      </c>
      <c r="D67" s="4">
        <v>1529</v>
      </c>
      <c r="E67" s="4">
        <v>3642</v>
      </c>
      <c r="F67" s="4">
        <v>4480</v>
      </c>
      <c r="G67" s="16">
        <f t="shared" si="1"/>
        <v>3929</v>
      </c>
      <c r="H67" s="4">
        <v>-11031</v>
      </c>
      <c r="I67" s="4">
        <v>1967</v>
      </c>
      <c r="J67" s="4">
        <v>6652</v>
      </c>
      <c r="K67" s="4">
        <v>5289</v>
      </c>
      <c r="L67" s="16">
        <f t="shared" si="2"/>
        <v>2877</v>
      </c>
      <c r="M67" s="4">
        <v>-25892</v>
      </c>
      <c r="N67" s="4">
        <v>-3674</v>
      </c>
      <c r="O67" s="4">
        <v>3378</v>
      </c>
      <c r="P67" s="4">
        <v>-253</v>
      </c>
      <c r="Q67" s="16">
        <f t="shared" si="3"/>
        <v>-26441</v>
      </c>
      <c r="R67" s="4">
        <v>-34899</v>
      </c>
      <c r="S67" s="4">
        <v>3001</v>
      </c>
    </row>
    <row r="68" spans="1:19" x14ac:dyDescent="0.25">
      <c r="A68" s="1" t="s">
        <v>338</v>
      </c>
      <c r="C68" s="4">
        <v>3273</v>
      </c>
      <c r="D68" s="4">
        <v>-11483</v>
      </c>
      <c r="E68" s="4">
        <v>-1027</v>
      </c>
      <c r="F68" s="4">
        <v>1926</v>
      </c>
      <c r="G68" s="16">
        <f t="shared" si="1"/>
        <v>-7311</v>
      </c>
      <c r="H68" s="4">
        <v>3731</v>
      </c>
      <c r="I68" s="1">
        <v>885</v>
      </c>
      <c r="J68" s="4">
        <v>2929</v>
      </c>
      <c r="K68" s="4">
        <v>-15569</v>
      </c>
      <c r="L68" s="16">
        <f t="shared" si="2"/>
        <v>-8024</v>
      </c>
      <c r="M68" s="4">
        <v>-12018</v>
      </c>
      <c r="N68" s="1">
        <v>-19049</v>
      </c>
      <c r="O68" s="4">
        <v>-9767</v>
      </c>
      <c r="P68" s="4">
        <v>-2673</v>
      </c>
      <c r="Q68" s="16">
        <f t="shared" si="3"/>
        <v>-43507</v>
      </c>
      <c r="R68" s="4">
        <v>-8747</v>
      </c>
      <c r="S68" s="1">
        <v>-5068</v>
      </c>
    </row>
    <row r="69" spans="1:19" x14ac:dyDescent="0.25">
      <c r="A69" s="1" t="s">
        <v>339</v>
      </c>
      <c r="C69" s="4">
        <v>-114</v>
      </c>
      <c r="D69" s="4">
        <v>-689</v>
      </c>
      <c r="E69" s="4">
        <v>386</v>
      </c>
      <c r="F69" s="4">
        <v>-1501</v>
      </c>
      <c r="G69" s="16">
        <f t="shared" si="1"/>
        <v>-1918</v>
      </c>
      <c r="H69" s="4">
        <v>-741</v>
      </c>
      <c r="I69" s="4">
        <v>-325</v>
      </c>
      <c r="J69" s="4">
        <v>-689</v>
      </c>
      <c r="K69" s="4">
        <v>-510</v>
      </c>
      <c r="L69" s="16">
        <f t="shared" si="2"/>
        <v>-2265</v>
      </c>
      <c r="M69" s="4">
        <v>-529</v>
      </c>
      <c r="N69" s="4">
        <v>-361</v>
      </c>
      <c r="O69" s="4">
        <v>-380</v>
      </c>
      <c r="P69" s="4">
        <v>-89</v>
      </c>
      <c r="Q69" s="16">
        <f t="shared" si="3"/>
        <v>-1359</v>
      </c>
      <c r="R69" s="4">
        <v>-94</v>
      </c>
      <c r="S69" s="4">
        <v>-747</v>
      </c>
    </row>
    <row r="70" spans="1:19" x14ac:dyDescent="0.25">
      <c r="A70" s="1" t="s">
        <v>340</v>
      </c>
      <c r="C70" s="4">
        <v>-1146</v>
      </c>
      <c r="D70" s="4">
        <v>-1642</v>
      </c>
      <c r="E70" s="4">
        <v>-642</v>
      </c>
      <c r="F70" s="4">
        <v>-866</v>
      </c>
      <c r="G70" s="16">
        <f t="shared" si="1"/>
        <v>-4296</v>
      </c>
      <c r="H70" s="4">
        <v>-3147</v>
      </c>
      <c r="I70" s="4">
        <v>-32826</v>
      </c>
      <c r="J70" s="4">
        <v>-25984</v>
      </c>
      <c r="K70" s="4">
        <v>-12397</v>
      </c>
      <c r="L70" s="16">
        <f t="shared" si="2"/>
        <v>-74354</v>
      </c>
      <c r="M70" s="4">
        <v>-1737</v>
      </c>
      <c r="N70" s="4">
        <v>-36363</v>
      </c>
      <c r="O70" s="4">
        <v>-22331</v>
      </c>
      <c r="P70" s="4">
        <v>-6782</v>
      </c>
      <c r="Q70" s="16">
        <f t="shared" si="3"/>
        <v>-67213</v>
      </c>
      <c r="R70" s="4">
        <v>-8763</v>
      </c>
      <c r="S70" s="4">
        <v>-7823</v>
      </c>
    </row>
    <row r="71" spans="1:19" x14ac:dyDescent="0.25">
      <c r="A71"/>
      <c r="G71" s="16"/>
      <c r="L71" s="16"/>
      <c r="N71"/>
      <c r="O71"/>
      <c r="P71"/>
      <c r="Q71" s="16"/>
      <c r="R71"/>
      <c r="S71"/>
    </row>
    <row r="72" spans="1:19" x14ac:dyDescent="0.25">
      <c r="A72" s="5" t="s">
        <v>341</v>
      </c>
      <c r="G72" s="16"/>
      <c r="L72" s="16"/>
      <c r="N72"/>
      <c r="O72"/>
      <c r="P72"/>
      <c r="Q72" s="16"/>
      <c r="R72"/>
      <c r="S72"/>
    </row>
    <row r="73" spans="1:19" x14ac:dyDescent="0.25">
      <c r="A73" s="300" t="s">
        <v>342</v>
      </c>
      <c r="B73" s="300"/>
      <c r="C73" s="301">
        <v>-79856</v>
      </c>
      <c r="D73" s="301">
        <v>-84898</v>
      </c>
      <c r="E73" s="301">
        <v>-76876</v>
      </c>
      <c r="F73" s="301">
        <v>-79656</v>
      </c>
      <c r="G73" s="301">
        <f t="shared" si="1"/>
        <v>-321286</v>
      </c>
      <c r="H73" s="301">
        <v>-78190</v>
      </c>
      <c r="I73" s="301">
        <v>-99766</v>
      </c>
      <c r="J73" s="301">
        <v>-152792</v>
      </c>
      <c r="K73" s="301">
        <v>-148277</v>
      </c>
      <c r="L73" s="301">
        <f t="shared" si="2"/>
        <v>-479025</v>
      </c>
      <c r="M73" s="301">
        <v>-132948</v>
      </c>
      <c r="N73" s="301">
        <v>-161803</v>
      </c>
      <c r="O73" s="301">
        <v>-162762</v>
      </c>
      <c r="P73" s="301">
        <v>-228910</v>
      </c>
      <c r="Q73" s="301">
        <v>-688437</v>
      </c>
      <c r="R73" s="301">
        <v>-147654</v>
      </c>
      <c r="S73" s="301">
        <v>-271936</v>
      </c>
    </row>
    <row r="75" spans="1:19" x14ac:dyDescent="0.25">
      <c r="A75" s="25"/>
    </row>
  </sheetData>
  <mergeCells count="2">
    <mergeCell ref="B3:N3"/>
    <mergeCell ref="B61:S6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23AC-E65B-4DA8-A9A8-F0A9B65B59ED}">
  <sheetPr>
    <tabColor theme="9" tint="-0.249977111117893"/>
  </sheetPr>
  <dimension ref="A1:AQ162"/>
  <sheetViews>
    <sheetView tabSelected="1" zoomScale="80" zoomScaleNormal="80" workbookViewId="0">
      <pane xSplit="3" ySplit="4" topLeftCell="I80" activePane="bottomRight" state="frozen"/>
      <selection activeCell="AF61" sqref="AF61"/>
      <selection pane="topRight" activeCell="AF61" sqref="AF61"/>
      <selection pane="bottomLeft" activeCell="AF61" sqref="AF61"/>
      <selection pane="bottomRight" activeCell="AK90" sqref="AK90"/>
    </sheetView>
  </sheetViews>
  <sheetFormatPr defaultColWidth="8.85546875" defaultRowHeight="15" outlineLevelCol="1" x14ac:dyDescent="0.25"/>
  <cols>
    <col min="1" max="1" width="0.42578125" style="37" customWidth="1"/>
    <col min="2" max="2" width="105.42578125" style="37" bestFit="1" customWidth="1"/>
    <col min="3" max="3" width="1.140625" style="37" customWidth="1"/>
    <col min="4" max="4" width="1.7109375" style="37" hidden="1" customWidth="1" outlineLevel="1"/>
    <col min="5" max="6" width="11.42578125" style="37" hidden="1" customWidth="1" outlineLevel="1"/>
    <col min="7" max="7" width="12.42578125" style="37" hidden="1" customWidth="1" outlineLevel="1"/>
    <col min="8" max="8" width="12.28515625" style="37" hidden="1" customWidth="1" outlineLevel="1"/>
    <col min="9" max="9" width="12.42578125" style="123" customWidth="1" collapsed="1"/>
    <col min="10" max="13" width="12.140625" style="123" hidden="1" customWidth="1" outlineLevel="1"/>
    <col min="14" max="14" width="12.42578125" style="123" bestFit="1" customWidth="1" collapsed="1"/>
    <col min="15" max="18" width="12.140625" style="123" hidden="1" customWidth="1" outlineLevel="1"/>
    <col min="19" max="19" width="15.7109375" style="123" bestFit="1" customWidth="1" collapsed="1"/>
    <col min="20" max="23" width="12.28515625" style="123" hidden="1" customWidth="1" outlineLevel="1"/>
    <col min="24" max="24" width="12.42578125" style="123" bestFit="1" customWidth="1" collapsed="1"/>
    <col min="25" max="28" width="12.28515625" style="123" hidden="1" customWidth="1" outlineLevel="1"/>
    <col min="29" max="29" width="12.42578125" style="123" bestFit="1" customWidth="1" collapsed="1"/>
    <col min="30" max="33" width="12.28515625" style="123" hidden="1" customWidth="1" outlineLevel="1"/>
    <col min="34" max="34" width="12.85546875" style="123" customWidth="1" collapsed="1"/>
    <col min="35" max="35" width="12.85546875" style="123" customWidth="1"/>
    <col min="36" max="36" width="14.140625" style="123" customWidth="1"/>
    <col min="37" max="37" width="13" style="37" bestFit="1" customWidth="1"/>
    <col min="38" max="38" width="10.85546875" style="37" bestFit="1" customWidth="1"/>
    <col min="39" max="16384" width="8.85546875" style="37"/>
  </cols>
  <sheetData>
    <row r="1" spans="1:43" s="60" customFormat="1" x14ac:dyDescent="0.25">
      <c r="B1" s="61" t="s">
        <v>376</v>
      </c>
      <c r="C1" s="62"/>
      <c r="E1" s="63"/>
      <c r="F1" s="63"/>
      <c r="G1" s="63"/>
      <c r="H1" s="63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37"/>
      <c r="AL1" s="37"/>
      <c r="AM1" s="37"/>
      <c r="AN1" s="37"/>
      <c r="AO1" s="37"/>
      <c r="AP1" s="37"/>
      <c r="AQ1" s="37"/>
    </row>
    <row r="2" spans="1:43" x14ac:dyDescent="0.25">
      <c r="B2" s="60" t="s">
        <v>184</v>
      </c>
      <c r="C2" s="60"/>
      <c r="D2" s="64"/>
      <c r="E2" s="77" t="s">
        <v>185</v>
      </c>
      <c r="F2" s="77" t="s">
        <v>186</v>
      </c>
      <c r="G2" s="77" t="s">
        <v>187</v>
      </c>
      <c r="H2" s="77" t="s">
        <v>188</v>
      </c>
      <c r="I2" s="77">
        <v>2019</v>
      </c>
      <c r="J2" s="77" t="s">
        <v>189</v>
      </c>
      <c r="K2" s="77" t="s">
        <v>190</v>
      </c>
      <c r="L2" s="77" t="s">
        <v>191</v>
      </c>
      <c r="M2" s="77" t="s">
        <v>192</v>
      </c>
      <c r="N2" s="77">
        <v>2020</v>
      </c>
      <c r="O2" s="77" t="s">
        <v>193</v>
      </c>
      <c r="P2" s="77" t="s">
        <v>194</v>
      </c>
      <c r="Q2" s="77" t="s">
        <v>195</v>
      </c>
      <c r="R2" s="77" t="s">
        <v>196</v>
      </c>
      <c r="S2" s="77">
        <v>2021</v>
      </c>
      <c r="T2" s="77" t="s">
        <v>197</v>
      </c>
      <c r="U2" s="77" t="s">
        <v>198</v>
      </c>
      <c r="V2" s="77" t="s">
        <v>199</v>
      </c>
      <c r="W2" s="77" t="s">
        <v>200</v>
      </c>
      <c r="X2" s="77">
        <v>2022</v>
      </c>
      <c r="Y2" s="77" t="s">
        <v>201</v>
      </c>
      <c r="Z2" s="77" t="s">
        <v>202</v>
      </c>
      <c r="AA2" s="77" t="s">
        <v>203</v>
      </c>
      <c r="AB2" s="77" t="s">
        <v>204</v>
      </c>
      <c r="AC2" s="77">
        <v>2023</v>
      </c>
      <c r="AD2" s="77" t="s">
        <v>205</v>
      </c>
      <c r="AE2" s="77" t="s">
        <v>206</v>
      </c>
      <c r="AF2" s="77" t="s">
        <v>207</v>
      </c>
      <c r="AG2" s="77" t="s">
        <v>208</v>
      </c>
      <c r="AH2" s="77" t="s">
        <v>54</v>
      </c>
      <c r="AI2" s="77" t="s">
        <v>209</v>
      </c>
      <c r="AJ2" s="77" t="s">
        <v>210</v>
      </c>
    </row>
    <row r="3" spans="1:43" x14ac:dyDescent="0.25">
      <c r="A3" s="65"/>
      <c r="B3" s="66" t="s">
        <v>211</v>
      </c>
      <c r="C3" s="66"/>
      <c r="D3" s="67"/>
      <c r="E3" s="67">
        <v>43555</v>
      </c>
      <c r="F3" s="67">
        <f>EOMONTH(E3,3)</f>
        <v>43646</v>
      </c>
      <c r="G3" s="67">
        <f>EOMONTH(F3,3)</f>
        <v>43738</v>
      </c>
      <c r="H3" s="67">
        <f>EOMONTH(G3,3)</f>
        <v>43830</v>
      </c>
      <c r="I3" s="78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80"/>
      <c r="W3" s="80"/>
      <c r="X3" s="80"/>
      <c r="Y3" s="79"/>
      <c r="Z3" s="79"/>
      <c r="AA3" s="80"/>
      <c r="AB3" s="80"/>
      <c r="AC3" s="80"/>
      <c r="AD3" s="79"/>
      <c r="AE3" s="79"/>
      <c r="AF3" s="80"/>
      <c r="AG3" s="80"/>
      <c r="AH3" s="81"/>
      <c r="AI3" s="81"/>
      <c r="AJ3" s="81"/>
    </row>
    <row r="4" spans="1:43" x14ac:dyDescent="0.25">
      <c r="B4" s="68" t="s">
        <v>212</v>
      </c>
      <c r="C4" s="68"/>
      <c r="E4" s="69">
        <v>90</v>
      </c>
      <c r="F4" s="69">
        <f>+F3-E3</f>
        <v>91</v>
      </c>
      <c r="G4" s="69">
        <f>+G3-F3</f>
        <v>92</v>
      </c>
      <c r="H4" s="69">
        <f>+H3-G3</f>
        <v>92</v>
      </c>
      <c r="I4" s="82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4"/>
      <c r="W4" s="84"/>
      <c r="X4" s="84"/>
      <c r="Y4" s="83"/>
      <c r="Z4" s="83"/>
      <c r="AA4" s="84"/>
      <c r="AB4" s="84"/>
      <c r="AC4" s="84"/>
      <c r="AD4" s="83"/>
      <c r="AE4" s="83"/>
      <c r="AF4" s="84"/>
      <c r="AG4" s="84"/>
      <c r="AH4" s="85"/>
      <c r="AI4" s="85"/>
      <c r="AJ4" s="85"/>
    </row>
    <row r="5" spans="1:43" x14ac:dyDescent="0.25">
      <c r="A5" s="70"/>
      <c r="B5" s="70" t="s">
        <v>213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</row>
    <row r="6" spans="1:43" s="60" customFormat="1" x14ac:dyDescent="0.25">
      <c r="B6" s="60" t="s">
        <v>346</v>
      </c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>
        <f>'Rev Breakdown'!I23</f>
        <v>70.825000000000003</v>
      </c>
      <c r="T6" s="127"/>
      <c r="U6" s="127"/>
      <c r="V6" s="127"/>
      <c r="W6" s="127"/>
      <c r="X6" s="332">
        <f>'Rev Breakdown'!H23</f>
        <v>98.9</v>
      </c>
      <c r="Y6" s="127"/>
      <c r="Z6" s="127"/>
      <c r="AA6" s="127"/>
      <c r="AB6" s="127"/>
      <c r="AC6" s="127">
        <f>'Rev Breakdown'!G23</f>
        <v>82.174999999999997</v>
      </c>
      <c r="AD6" s="127"/>
      <c r="AE6" s="127"/>
      <c r="AF6" s="127"/>
      <c r="AG6" s="127"/>
      <c r="AH6" s="127">
        <f>'Rev Breakdown'!D23</f>
        <v>82.18</v>
      </c>
      <c r="AI6" s="127">
        <f>'Rev Breakdown'!C23</f>
        <v>77.819999999999993</v>
      </c>
      <c r="AJ6" s="127">
        <v>75</v>
      </c>
    </row>
    <row r="7" spans="1:43" s="60" customFormat="1" x14ac:dyDescent="0.25">
      <c r="B7" s="60" t="s">
        <v>24</v>
      </c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>
        <f>'Rev Breakdown'!I26</f>
        <v>53.062500000000007</v>
      </c>
      <c r="T7" s="127"/>
      <c r="U7" s="127"/>
      <c r="V7" s="127"/>
      <c r="W7" s="127"/>
      <c r="X7" s="332">
        <f>'Rev Breakdown'!H26</f>
        <v>67.099999999999994</v>
      </c>
      <c r="Y7" s="127"/>
      <c r="Z7" s="127"/>
      <c r="AA7" s="127"/>
      <c r="AB7" s="127"/>
      <c r="AC7" s="127">
        <f>'Rev Breakdown'!G26</f>
        <v>63.95</v>
      </c>
      <c r="AD7" s="127"/>
      <c r="AE7" s="127"/>
      <c r="AF7" s="127"/>
      <c r="AG7" s="127"/>
      <c r="AH7" s="127">
        <f>'Rev Breakdown'!D26</f>
        <v>65</v>
      </c>
      <c r="AI7" s="127">
        <f>'Rev Breakdown'!C26</f>
        <v>67.5</v>
      </c>
      <c r="AJ7" s="127">
        <f>'Rev Breakdown'!B26</f>
        <v>65</v>
      </c>
    </row>
    <row r="8" spans="1:43" s="60" customFormat="1" x14ac:dyDescent="0.25">
      <c r="B8" s="60" t="s">
        <v>61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333">
        <f>'Rev Breakdown'!I29</f>
        <v>0.28000000000000003</v>
      </c>
      <c r="T8" s="333"/>
      <c r="U8" s="333"/>
      <c r="V8" s="333"/>
      <c r="W8" s="333"/>
      <c r="X8" s="333">
        <f>'Rev Breakdown'!H29</f>
        <v>0.44</v>
      </c>
      <c r="Y8" s="333"/>
      <c r="Z8" s="333"/>
      <c r="AA8" s="333"/>
      <c r="AB8" s="333"/>
      <c r="AC8" s="333">
        <f>'Rev Breakdown'!G29</f>
        <v>0.52</v>
      </c>
      <c r="AD8" s="333"/>
      <c r="AE8" s="333"/>
      <c r="AF8" s="333"/>
      <c r="AG8" s="333"/>
      <c r="AH8" s="333">
        <f>'Rev Breakdown'!D29</f>
        <v>0.6</v>
      </c>
      <c r="AI8" s="334">
        <f>'Rev Breakdown'!C29</f>
        <v>0.7</v>
      </c>
      <c r="AJ8" s="334">
        <f>'Rev Breakdown'!B29</f>
        <v>0.7</v>
      </c>
    </row>
    <row r="9" spans="1:43" s="60" customFormat="1" x14ac:dyDescent="0.25">
      <c r="B9" s="10" t="s">
        <v>14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>
        <f>'Rev Breakdown'!I33</f>
        <v>46</v>
      </c>
      <c r="T9" s="127"/>
      <c r="U9" s="127"/>
      <c r="V9" s="127"/>
      <c r="W9" s="127"/>
      <c r="X9" s="127">
        <f>'Rev Breakdown'!H33</f>
        <v>63.7</v>
      </c>
      <c r="Y9" s="127"/>
      <c r="Z9" s="127"/>
      <c r="AA9" s="127"/>
      <c r="AB9" s="127"/>
      <c r="AC9" s="127">
        <f>'Rev Breakdown'!G33</f>
        <v>58.4</v>
      </c>
      <c r="AD9" s="127"/>
      <c r="AE9" s="127"/>
      <c r="AF9" s="127"/>
      <c r="AG9" s="127"/>
      <c r="AH9" s="335">
        <f>'Rev Breakdown'!D33</f>
        <v>60.656399999999998</v>
      </c>
      <c r="AI9" s="335">
        <f>'Rev Breakdown'!C33</f>
        <v>59.246999999999993</v>
      </c>
      <c r="AJ9" s="335">
        <f>'Rev Breakdown'!B33</f>
        <v>57.715800000000002</v>
      </c>
    </row>
    <row r="10" spans="1:43" s="60" customFormat="1" x14ac:dyDescent="0.25"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89">
        <f>X9/S9-1</f>
        <v>0.38478260869565228</v>
      </c>
      <c r="Y10" s="89" t="e">
        <f t="shared" ref="Y10:AG10" si="0">Y9/T9-1</f>
        <v>#DIV/0!</v>
      </c>
      <c r="Z10" s="89" t="e">
        <f t="shared" si="0"/>
        <v>#DIV/0!</v>
      </c>
      <c r="AA10" s="89" t="e">
        <f t="shared" si="0"/>
        <v>#DIV/0!</v>
      </c>
      <c r="AB10" s="89" t="e">
        <f t="shared" si="0"/>
        <v>#DIV/0!</v>
      </c>
      <c r="AC10" s="89">
        <f>AC9/X9-1</f>
        <v>-8.3202511773940446E-2</v>
      </c>
      <c r="AD10" s="89" t="e">
        <f t="shared" si="0"/>
        <v>#DIV/0!</v>
      </c>
      <c r="AE10" s="89" t="e">
        <f t="shared" si="0"/>
        <v>#DIV/0!</v>
      </c>
      <c r="AF10" s="89" t="e">
        <f t="shared" si="0"/>
        <v>#DIV/0!</v>
      </c>
      <c r="AG10" s="89" t="e">
        <f t="shared" si="0"/>
        <v>#DIV/0!</v>
      </c>
      <c r="AH10" s="89">
        <f>AH9/AC9-1</f>
        <v>3.8636986301369802E-2</v>
      </c>
      <c r="AI10" s="89">
        <f>AI9/AH9-1</f>
        <v>-2.3235800344234114E-2</v>
      </c>
      <c r="AJ10" s="89">
        <f>AJ9/AI9-1</f>
        <v>-2.584434654919221E-2</v>
      </c>
    </row>
    <row r="11" spans="1:43" s="60" customFormat="1" x14ac:dyDescent="0.25">
      <c r="B11" s="60" t="s">
        <v>347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>
        <f>'Rev Breakdown'!T12</f>
        <v>38845</v>
      </c>
      <c r="T11" s="127"/>
      <c r="U11" s="127"/>
      <c r="V11" s="127"/>
      <c r="W11" s="127"/>
      <c r="X11" s="127">
        <f>'Rev Breakdown'!S12</f>
        <v>48560</v>
      </c>
      <c r="Y11" s="127"/>
      <c r="Z11" s="127"/>
      <c r="AA11" s="127"/>
      <c r="AB11" s="127"/>
      <c r="AC11" s="127">
        <f>'Rev Breakdown'!R12</f>
        <v>51149</v>
      </c>
      <c r="AD11" s="127"/>
      <c r="AE11" s="127"/>
      <c r="AF11" s="127"/>
      <c r="AG11" s="127"/>
      <c r="AH11" s="336">
        <f>'Rev Breakdown'!Q12</f>
        <v>66333.5</v>
      </c>
      <c r="AI11" s="336">
        <f>'Rev Breakdown'!P12</f>
        <v>79606.391070859332</v>
      </c>
      <c r="AJ11" s="336">
        <f>AI11*(1+18%)</f>
        <v>93935.541463614005</v>
      </c>
    </row>
    <row r="12" spans="1:43" s="60" customFormat="1" x14ac:dyDescent="0.25"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89">
        <f>X11/S11-1</f>
        <v>0.25009653752091654</v>
      </c>
      <c r="Y12" s="89" t="e">
        <f t="shared" ref="Y12" si="1">Y11/T11-1</f>
        <v>#DIV/0!</v>
      </c>
      <c r="Z12" s="89" t="e">
        <f t="shared" ref="Z12" si="2">Z11/U11-1</f>
        <v>#DIV/0!</v>
      </c>
      <c r="AA12" s="89" t="e">
        <f t="shared" ref="AA12" si="3">AA11/V11-1</f>
        <v>#DIV/0!</v>
      </c>
      <c r="AB12" s="89" t="e">
        <f t="shared" ref="AB12" si="4">AB11/W11-1</f>
        <v>#DIV/0!</v>
      </c>
      <c r="AC12" s="89">
        <f>AC11/X11-1</f>
        <v>5.3315485996705103E-2</v>
      </c>
      <c r="AD12" s="89" t="e">
        <f t="shared" ref="AD12" si="5">AD11/Y11-1</f>
        <v>#DIV/0!</v>
      </c>
      <c r="AE12" s="89" t="e">
        <f t="shared" ref="AE12" si="6">AE11/Z11-1</f>
        <v>#DIV/0!</v>
      </c>
      <c r="AF12" s="89" t="e">
        <f t="shared" ref="AF12" si="7">AF11/AA11-1</f>
        <v>#DIV/0!</v>
      </c>
      <c r="AG12" s="89" t="e">
        <f t="shared" ref="AG12" si="8">AG11/AB11-1</f>
        <v>#DIV/0!</v>
      </c>
      <c r="AH12" s="89">
        <f>AH11/AC11-1</f>
        <v>0.29686797395843523</v>
      </c>
      <c r="AI12" s="89">
        <f>AI11/AH11-1</f>
        <v>0.20009333249201888</v>
      </c>
      <c r="AJ12" s="89">
        <f>AJ11/AI11-1</f>
        <v>0.17999999999999994</v>
      </c>
      <c r="AK12" s="331"/>
      <c r="AL12" s="331"/>
    </row>
    <row r="13" spans="1:43" s="60" customFormat="1" x14ac:dyDescent="0.25">
      <c r="B13" s="92" t="s">
        <v>214</v>
      </c>
      <c r="C13" s="93"/>
      <c r="D13" s="92"/>
      <c r="E13" s="94"/>
      <c r="F13" s="94"/>
      <c r="G13" s="94"/>
      <c r="H13" s="94"/>
      <c r="I13" s="95"/>
      <c r="J13" s="96"/>
      <c r="K13" s="96"/>
      <c r="L13" s="96"/>
      <c r="M13" s="96"/>
      <c r="N13" s="95"/>
      <c r="O13" s="96"/>
      <c r="P13" s="96"/>
      <c r="Q13" s="96"/>
      <c r="R13" s="96"/>
      <c r="S13" s="95">
        <f>'Raw Input'!B4</f>
        <v>665310</v>
      </c>
      <c r="T13" s="95">
        <f>'Raw Input'!C4</f>
        <v>207920</v>
      </c>
      <c r="U13" s="95">
        <f>'Raw Input'!D4</f>
        <v>294293</v>
      </c>
      <c r="V13" s="95">
        <f>'Raw Input'!E4</f>
        <v>333502</v>
      </c>
      <c r="W13" s="95">
        <f>'Raw Input'!F4</f>
        <v>320296</v>
      </c>
      <c r="X13" s="95">
        <f>'Raw Input'!G4</f>
        <v>1187660</v>
      </c>
      <c r="Y13" s="95">
        <f>'Raw Input'!H4</f>
        <v>317190</v>
      </c>
      <c r="Z13" s="95">
        <f>'Raw Input'!I4</f>
        <v>239628</v>
      </c>
      <c r="AA13" s="95">
        <f>'Raw Input'!J4</f>
        <v>289686</v>
      </c>
      <c r="AB13" s="95">
        <f>'Raw Input'!K4</f>
        <v>309196</v>
      </c>
      <c r="AC13" s="95">
        <f>'Raw Input'!L4</f>
        <v>1168774</v>
      </c>
      <c r="AD13" s="95">
        <f>'Raw Input'!M4</f>
        <v>317352</v>
      </c>
      <c r="AE13" s="95">
        <f>'Raw Input'!N4</f>
        <v>396715</v>
      </c>
      <c r="AF13" s="96">
        <f>'Rev Breakdown'!Q7</f>
        <v>390627.21600000001</v>
      </c>
      <c r="AG13" s="96">
        <f>'Rev Breakdown'!P7</f>
        <v>418529.16</v>
      </c>
      <c r="AH13" s="97">
        <f>AH9*AH11*365/1000</f>
        <v>1468596.2279310001</v>
      </c>
      <c r="AI13" s="97">
        <f>AI9*AI11*365/1000</f>
        <v>1721500.5458979488</v>
      </c>
      <c r="AJ13" s="97">
        <f>AJ9*AJ11*365/1000</f>
        <v>1978871.1972620634</v>
      </c>
    </row>
    <row r="14" spans="1:43" x14ac:dyDescent="0.25">
      <c r="B14" s="87" t="s">
        <v>222</v>
      </c>
      <c r="C14" s="73"/>
      <c r="D14" s="60"/>
      <c r="E14" s="74"/>
      <c r="F14" s="74"/>
      <c r="G14" s="74"/>
      <c r="H14" s="74"/>
      <c r="I14" s="98"/>
      <c r="J14" s="99"/>
      <c r="K14" s="99"/>
      <c r="L14" s="99"/>
      <c r="M14" s="9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>
        <f>X13/S13-1</f>
        <v>0.78512272474485578</v>
      </c>
      <c r="Y14" s="89">
        <f t="shared" ref="Y14:AE14" si="9">Y13/T13-1</f>
        <v>0.525538668718738</v>
      </c>
      <c r="Z14" s="89">
        <f t="shared" si="9"/>
        <v>-0.1857502556975531</v>
      </c>
      <c r="AA14" s="89">
        <f t="shared" si="9"/>
        <v>-0.13138152095039912</v>
      </c>
      <c r="AB14" s="89">
        <f>AB13/W13-1</f>
        <v>-3.4655443714564083E-2</v>
      </c>
      <c r="AC14" s="89">
        <f>AC13/X13-1</f>
        <v>-1.5901857433945787E-2</v>
      </c>
      <c r="AD14" s="89">
        <f t="shared" si="9"/>
        <v>5.1073489075958989E-4</v>
      </c>
      <c r="AE14" s="89">
        <f t="shared" si="9"/>
        <v>0.65554526182249151</v>
      </c>
      <c r="AF14" s="89">
        <f>AF13/AA13-1</f>
        <v>0.34845044634535327</v>
      </c>
      <c r="AG14" s="89">
        <f>AG13/AB13-1</f>
        <v>0.35360470381246834</v>
      </c>
      <c r="AH14" s="89">
        <f>AH13/AC13-1</f>
        <v>0.25652711981187126</v>
      </c>
      <c r="AI14" s="89">
        <f>AI13/AH13-1</f>
        <v>0.17220820342378751</v>
      </c>
      <c r="AJ14" s="89">
        <f>AJ13/AI13-1</f>
        <v>0.14950367107195306</v>
      </c>
      <c r="AK14" s="60"/>
      <c r="AL14" s="60"/>
    </row>
    <row r="15" spans="1:43" s="60" customFormat="1" x14ac:dyDescent="0.25">
      <c r="B15" s="101" t="s">
        <v>223</v>
      </c>
      <c r="C15" s="68"/>
      <c r="D15" s="37"/>
      <c r="E15" s="69"/>
      <c r="F15" s="69"/>
      <c r="G15" s="69"/>
      <c r="H15" s="69"/>
      <c r="I15" s="100"/>
      <c r="J15" s="100"/>
      <c r="K15" s="100"/>
      <c r="L15" s="100"/>
      <c r="M15" s="100"/>
      <c r="N15" s="102"/>
      <c r="O15" s="102"/>
      <c r="P15" s="102"/>
      <c r="Q15" s="102"/>
      <c r="R15" s="102"/>
      <c r="S15" s="399">
        <v>638300</v>
      </c>
      <c r="T15" s="400"/>
      <c r="U15" s="400"/>
      <c r="V15" s="400"/>
      <c r="W15" s="400"/>
      <c r="X15" s="399">
        <v>1148800</v>
      </c>
      <c r="Y15" s="103"/>
      <c r="Z15" s="103"/>
      <c r="AA15" s="103"/>
      <c r="AB15" s="103"/>
      <c r="AC15" s="399">
        <v>1150800</v>
      </c>
      <c r="AD15" s="103"/>
      <c r="AE15" s="103"/>
      <c r="AF15" s="103"/>
      <c r="AG15" s="103"/>
      <c r="AH15" s="399">
        <v>1657500</v>
      </c>
      <c r="AI15" s="399">
        <v>2178200</v>
      </c>
      <c r="AJ15" s="399">
        <v>2526200</v>
      </c>
    </row>
    <row r="16" spans="1:43" x14ac:dyDescent="0.25">
      <c r="B16" s="104" t="s">
        <v>224</v>
      </c>
      <c r="C16" s="68"/>
      <c r="E16" s="69"/>
      <c r="F16" s="69"/>
      <c r="G16" s="69"/>
      <c r="H16" s="69"/>
      <c r="I16" s="88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5"/>
      <c r="AI16" s="85"/>
      <c r="AJ16" s="85"/>
    </row>
    <row r="17" spans="2:36" x14ac:dyDescent="0.25">
      <c r="B17" s="39" t="str">
        <f>'Raw Input'!A6</f>
        <v>Operating costs</v>
      </c>
      <c r="C17" s="68"/>
      <c r="E17" s="69"/>
      <c r="F17" s="69"/>
      <c r="G17" s="69"/>
      <c r="H17" s="69"/>
      <c r="I17" s="275"/>
      <c r="J17" s="275"/>
      <c r="K17" s="275"/>
      <c r="L17" s="275"/>
      <c r="M17" s="275"/>
      <c r="N17" s="275"/>
      <c r="O17" s="275"/>
      <c r="P17" s="275"/>
      <c r="Q17" s="275"/>
      <c r="R17" s="275"/>
      <c r="S17" s="275">
        <f>'Raw Input'!B6</f>
        <v>-107123</v>
      </c>
      <c r="T17" s="275">
        <f>'Raw Input'!C6</f>
        <v>-30839</v>
      </c>
      <c r="U17" s="275">
        <f>'Raw Input'!D6</f>
        <v>-31729</v>
      </c>
      <c r="V17" s="275">
        <f>'Raw Input'!E6</f>
        <v>-34704</v>
      </c>
      <c r="W17" s="275">
        <f>'Raw Input'!F6</f>
        <v>-36113</v>
      </c>
      <c r="X17" s="275">
        <f>'Raw Input'!G6</f>
        <v>-133385</v>
      </c>
      <c r="Y17" s="275">
        <f>'Raw Input'!H6</f>
        <v>-30144</v>
      </c>
      <c r="Z17" s="275">
        <f>'Raw Input'!I6</f>
        <v>-20347</v>
      </c>
      <c r="AA17" s="275">
        <f>'Raw Input'!J6</f>
        <v>-21924</v>
      </c>
      <c r="AB17" s="275">
        <f>'Raw Input'!K6</f>
        <v>-22270</v>
      </c>
      <c r="AC17" s="275">
        <f>'Raw Input'!L6</f>
        <v>-94685</v>
      </c>
      <c r="AD17" s="275">
        <f>'Raw Input'!M6</f>
        <v>-21618</v>
      </c>
      <c r="AE17" s="275">
        <f>'Raw Input'!N6</f>
        <v>-26738</v>
      </c>
      <c r="AF17" s="275"/>
      <c r="AG17" s="275"/>
      <c r="AH17" s="275"/>
      <c r="AI17" s="85"/>
      <c r="AJ17" s="85"/>
    </row>
    <row r="18" spans="2:36" x14ac:dyDescent="0.25">
      <c r="B18" s="283" t="s">
        <v>222</v>
      </c>
      <c r="C18" s="284"/>
      <c r="D18" s="282"/>
      <c r="E18" s="285"/>
      <c r="F18" s="285"/>
      <c r="G18" s="285"/>
      <c r="H18" s="285"/>
      <c r="I18" s="286"/>
      <c r="J18" s="287"/>
      <c r="K18" s="287"/>
      <c r="L18" s="287"/>
      <c r="M18" s="287"/>
      <c r="N18" s="288"/>
      <c r="O18" s="288"/>
      <c r="P18" s="288"/>
      <c r="Q18" s="288"/>
      <c r="R18" s="288"/>
      <c r="S18" s="288"/>
      <c r="T18" s="288"/>
      <c r="U18" s="288"/>
      <c r="V18" s="288"/>
      <c r="W18" s="288"/>
      <c r="X18" s="288">
        <f>X17/S17-1</f>
        <v>0.24515743584477656</v>
      </c>
      <c r="Y18" s="288">
        <f t="shared" ref="Y18" si="10">Y17/T17-1</f>
        <v>-2.2536398715911621E-2</v>
      </c>
      <c r="Z18" s="288">
        <f t="shared" ref="Z18" si="11">Z17/U17-1</f>
        <v>-0.35872545620725516</v>
      </c>
      <c r="AA18" s="288">
        <f t="shared" ref="AA18" si="12">AA17/V17-1</f>
        <v>-0.36825726141078841</v>
      </c>
      <c r="AB18" s="288">
        <f>AB17/W17-1</f>
        <v>-0.38332456456123831</v>
      </c>
      <c r="AC18" s="288">
        <f t="shared" ref="AC18" si="13">AC17/X17-1</f>
        <v>-0.29013757169096976</v>
      </c>
      <c r="AD18" s="288">
        <f t="shared" ref="AD18" si="14">AD17/Y17-1</f>
        <v>-0.28284235668789814</v>
      </c>
      <c r="AE18" s="288">
        <f t="shared" ref="AE18" si="15">AE17/Z17-1</f>
        <v>0.31410035877524933</v>
      </c>
      <c r="AF18" s="275"/>
      <c r="AG18" s="275"/>
      <c r="AH18" s="275"/>
      <c r="AI18" s="85"/>
      <c r="AJ18" s="85"/>
    </row>
    <row r="19" spans="2:36" x14ac:dyDescent="0.25">
      <c r="B19" s="283" t="s">
        <v>225</v>
      </c>
      <c r="C19" s="284"/>
      <c r="D19" s="282"/>
      <c r="E19" s="285"/>
      <c r="F19" s="285"/>
      <c r="G19" s="285"/>
      <c r="H19" s="285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>
        <f t="shared" ref="S19:AE19" si="16">S17/S$13</f>
        <v>-0.16101215974508123</v>
      </c>
      <c r="T19" s="289">
        <f t="shared" si="16"/>
        <v>-0.14832146979607541</v>
      </c>
      <c r="U19" s="289">
        <f t="shared" si="16"/>
        <v>-0.10781432110175913</v>
      </c>
      <c r="V19" s="289">
        <f t="shared" si="16"/>
        <v>-0.1040593459709387</v>
      </c>
      <c r="W19" s="289">
        <f t="shared" si="16"/>
        <v>-0.11274883233009467</v>
      </c>
      <c r="X19" s="289">
        <f t="shared" si="16"/>
        <v>-0.11230907835575839</v>
      </c>
      <c r="Y19" s="289">
        <f t="shared" si="16"/>
        <v>-9.5034521895393922E-2</v>
      </c>
      <c r="Z19" s="289">
        <f t="shared" si="16"/>
        <v>-8.4910778373145035E-2</v>
      </c>
      <c r="AA19" s="289">
        <f t="shared" si="16"/>
        <v>-7.5681945278681051E-2</v>
      </c>
      <c r="AB19" s="289">
        <f t="shared" si="16"/>
        <v>-7.2025511326149108E-2</v>
      </c>
      <c r="AC19" s="289">
        <f t="shared" si="16"/>
        <v>-8.1012240176458403E-2</v>
      </c>
      <c r="AD19" s="289">
        <f t="shared" si="16"/>
        <v>-6.8119942524389326E-2</v>
      </c>
      <c r="AE19" s="289">
        <f t="shared" si="16"/>
        <v>-6.7398510265555878E-2</v>
      </c>
      <c r="AF19" s="289"/>
      <c r="AG19" s="275"/>
      <c r="AH19" s="275"/>
      <c r="AI19" s="85"/>
      <c r="AJ19" s="85"/>
    </row>
    <row r="20" spans="2:36" x14ac:dyDescent="0.25">
      <c r="B20" s="39" t="str">
        <f>'Raw Input'!A7</f>
        <v>Crude oil stock fluctuation</v>
      </c>
      <c r="C20" s="68"/>
      <c r="E20" s="69"/>
      <c r="F20" s="69"/>
      <c r="G20" s="69"/>
      <c r="H20" s="69"/>
      <c r="I20" s="275"/>
      <c r="J20" s="275"/>
      <c r="K20" s="275"/>
      <c r="L20" s="275"/>
      <c r="M20" s="275"/>
      <c r="N20" s="275"/>
      <c r="O20" s="275"/>
      <c r="P20" s="275"/>
      <c r="Q20" s="275"/>
      <c r="R20" s="275"/>
      <c r="S20" s="275">
        <f>'Raw Input'!B7</f>
        <v>-905</v>
      </c>
      <c r="T20" s="275">
        <f>'Raw Input'!C7</f>
        <v>2655</v>
      </c>
      <c r="U20" s="275">
        <f>'Raw Input'!D7</f>
        <v>-3306</v>
      </c>
      <c r="V20" s="275">
        <f>'Raw Input'!E7</f>
        <v>-4571</v>
      </c>
      <c r="W20" s="275">
        <f>'Raw Input'!F7</f>
        <v>4722</v>
      </c>
      <c r="X20" s="275">
        <f>'Raw Input'!G7</f>
        <v>-500</v>
      </c>
      <c r="Y20" s="275">
        <f>'Raw Input'!H7</f>
        <v>-4722</v>
      </c>
      <c r="Z20" s="275">
        <f>'Raw Input'!I7</f>
        <v>2130</v>
      </c>
      <c r="AA20" s="275">
        <f>'Raw Input'!J7</f>
        <v>-1209</v>
      </c>
      <c r="AB20" s="275">
        <f>'Raw Input'!K7</f>
        <v>1743</v>
      </c>
      <c r="AC20" s="275">
        <f>'Raw Input'!L7</f>
        <v>-2058</v>
      </c>
      <c r="AD20" s="275">
        <f>'Raw Input'!M7</f>
        <v>1209</v>
      </c>
      <c r="AE20" s="275">
        <f>'Raw Input'!N7</f>
        <v>3654</v>
      </c>
      <c r="AF20" s="275"/>
      <c r="AG20" s="275"/>
      <c r="AH20" s="275"/>
      <c r="AI20" s="85"/>
      <c r="AJ20" s="85"/>
    </row>
    <row r="21" spans="2:36" x14ac:dyDescent="0.25">
      <c r="B21" s="283" t="s">
        <v>222</v>
      </c>
      <c r="C21" s="284"/>
      <c r="D21" s="282"/>
      <c r="E21" s="285"/>
      <c r="F21" s="285"/>
      <c r="G21" s="285"/>
      <c r="H21" s="285"/>
      <c r="I21" s="286"/>
      <c r="J21" s="287"/>
      <c r="K21" s="287"/>
      <c r="L21" s="287"/>
      <c r="M21" s="287"/>
      <c r="N21" s="288"/>
      <c r="O21" s="288"/>
      <c r="P21" s="288"/>
      <c r="Q21" s="288"/>
      <c r="R21" s="288"/>
      <c r="S21" s="288"/>
      <c r="T21" s="288"/>
      <c r="U21" s="288"/>
      <c r="V21" s="288"/>
      <c r="W21" s="288"/>
      <c r="X21" s="288">
        <f>X20/S20-1</f>
        <v>-0.4475138121546961</v>
      </c>
      <c r="Y21" s="288">
        <f t="shared" ref="Y21" si="17">Y20/T20-1</f>
        <v>-2.7785310734463278</v>
      </c>
      <c r="Z21" s="288">
        <f t="shared" ref="Z21" si="18">Z20/U20-1</f>
        <v>-1.6442831215970961</v>
      </c>
      <c r="AA21" s="288">
        <f t="shared" ref="AA21" si="19">AA20/V20-1</f>
        <v>-0.7355064537300372</v>
      </c>
      <c r="AB21" s="288">
        <f>AB20/W20-1</f>
        <v>-0.63087674714104192</v>
      </c>
      <c r="AC21" s="288">
        <f t="shared" ref="AC21" si="20">AC20/X20-1</f>
        <v>3.1159999999999997</v>
      </c>
      <c r="AD21" s="288">
        <f t="shared" ref="AD21" si="21">AD20/Y20-1</f>
        <v>-1.256035578144854</v>
      </c>
      <c r="AE21" s="288">
        <f t="shared" ref="AE21" si="22">AE20/Z20-1</f>
        <v>0.71549295774647881</v>
      </c>
      <c r="AF21" s="275"/>
      <c r="AG21" s="275"/>
      <c r="AH21" s="275"/>
      <c r="AI21" s="85"/>
      <c r="AJ21" s="85"/>
    </row>
    <row r="22" spans="2:36" x14ac:dyDescent="0.25">
      <c r="B22" s="283" t="s">
        <v>225</v>
      </c>
      <c r="C22" s="284"/>
      <c r="D22" s="282"/>
      <c r="E22" s="285"/>
      <c r="F22" s="285"/>
      <c r="G22" s="285"/>
      <c r="H22" s="285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>
        <f t="shared" ref="S22:AE22" si="23">S20/S$13</f>
        <v>-1.3602681456764516E-3</v>
      </c>
      <c r="T22" s="289">
        <f t="shared" si="23"/>
        <v>1.2769334359368988E-2</v>
      </c>
      <c r="U22" s="289">
        <f t="shared" si="23"/>
        <v>-1.123370246658942E-2</v>
      </c>
      <c r="V22" s="289">
        <f t="shared" si="23"/>
        <v>-1.370606473124599E-2</v>
      </c>
      <c r="W22" s="289">
        <f t="shared" si="23"/>
        <v>1.4742613082898318E-2</v>
      </c>
      <c r="X22" s="289">
        <f t="shared" si="23"/>
        <v>-4.2099590791977502E-4</v>
      </c>
      <c r="Y22" s="289">
        <f t="shared" si="23"/>
        <v>-1.4886976260285633E-2</v>
      </c>
      <c r="Z22" s="289">
        <f t="shared" si="23"/>
        <v>8.8887776052881968E-3</v>
      </c>
      <c r="AA22" s="289">
        <f t="shared" si="23"/>
        <v>-4.1734843934466978E-3</v>
      </c>
      <c r="AB22" s="289">
        <f t="shared" si="23"/>
        <v>5.6372009987192594E-3</v>
      </c>
      <c r="AC22" s="289">
        <f t="shared" si="23"/>
        <v>-1.7608194569694398E-3</v>
      </c>
      <c r="AD22" s="289">
        <f t="shared" si="23"/>
        <v>3.8096498525296832E-3</v>
      </c>
      <c r="AE22" s="289">
        <f t="shared" si="23"/>
        <v>9.2106424007158787E-3</v>
      </c>
      <c r="AF22" s="275"/>
      <c r="AG22" s="275"/>
      <c r="AH22" s="275"/>
      <c r="AI22" s="85"/>
      <c r="AJ22" s="85"/>
    </row>
    <row r="23" spans="2:36" x14ac:dyDescent="0.25">
      <c r="B23" s="39" t="str">
        <f>'Raw Input'!A8</f>
        <v>Depreciation, depletion and amortization</v>
      </c>
      <c r="C23" s="68"/>
      <c r="E23" s="69"/>
      <c r="F23" s="69"/>
      <c r="G23" s="69"/>
      <c r="H23" s="69"/>
      <c r="I23" s="275"/>
      <c r="J23" s="275"/>
      <c r="K23" s="275"/>
      <c r="L23" s="275"/>
      <c r="M23" s="275"/>
      <c r="N23" s="275"/>
      <c r="O23" s="275"/>
      <c r="P23" s="275"/>
      <c r="Q23" s="275"/>
      <c r="R23" s="275"/>
      <c r="S23" s="275">
        <f>'Raw Input'!B8</f>
        <v>-191313</v>
      </c>
      <c r="T23" s="275">
        <f>'Raw Input'!C8</f>
        <v>-46822</v>
      </c>
      <c r="U23" s="275">
        <f>'Raw Input'!D8</f>
        <v>-57982</v>
      </c>
      <c r="V23" s="275">
        <f>'Raw Input'!E8</f>
        <v>-66910</v>
      </c>
      <c r="W23" s="275">
        <f>'Raw Input'!F8</f>
        <v>-63148</v>
      </c>
      <c r="X23" s="275">
        <f>'Raw Input'!G8</f>
        <v>-234862</v>
      </c>
      <c r="Y23" s="275">
        <f>'Raw Input'!H8</f>
        <v>-64372</v>
      </c>
      <c r="Z23" s="275">
        <f>'Raw Input'!I8</f>
        <v>-62447</v>
      </c>
      <c r="AA23" s="275">
        <f>'Raw Input'!J8</f>
        <v>-70600</v>
      </c>
      <c r="AB23" s="275">
        <f>'Raw Input'!K8</f>
        <v>-79011</v>
      </c>
      <c r="AC23" s="275">
        <f>'Raw Input'!L8</f>
        <v>-276430</v>
      </c>
      <c r="AD23" s="275">
        <f>'Raw Input'!M8</f>
        <v>-82373</v>
      </c>
      <c r="AE23" s="275">
        <f>'Raw Input'!N8</f>
        <v>-101005</v>
      </c>
      <c r="AF23" s="83">
        <f>AF25*AF13</f>
        <v>-94023.333052611924</v>
      </c>
      <c r="AG23" s="83">
        <f>AG25*AG13</f>
        <v>-100739.28541351277</v>
      </c>
      <c r="AH23" s="86">
        <f>SUM(AD23:AG23)</f>
        <v>-378140.6184661247</v>
      </c>
      <c r="AI23" s="85">
        <f>AI25*AI13</f>
        <v>-430375.1364744872</v>
      </c>
      <c r="AJ23" s="85">
        <f>AJ25*AJ13</f>
        <v>-494717.79931551585</v>
      </c>
    </row>
    <row r="24" spans="2:36" x14ac:dyDescent="0.25">
      <c r="B24" s="283" t="s">
        <v>222</v>
      </c>
      <c r="C24" s="284"/>
      <c r="D24" s="282"/>
      <c r="E24" s="285"/>
      <c r="F24" s="285"/>
      <c r="G24" s="285"/>
      <c r="H24" s="285"/>
      <c r="I24" s="286"/>
      <c r="J24" s="287"/>
      <c r="K24" s="287"/>
      <c r="L24" s="287"/>
      <c r="M24" s="287"/>
      <c r="N24" s="288"/>
      <c r="O24" s="288"/>
      <c r="P24" s="288"/>
      <c r="Q24" s="288"/>
      <c r="R24" s="288"/>
      <c r="S24" s="288"/>
      <c r="T24" s="288"/>
      <c r="U24" s="288"/>
      <c r="V24" s="288"/>
      <c r="W24" s="288"/>
      <c r="X24" s="288">
        <f>X23/S23-1</f>
        <v>0.22763220481619117</v>
      </c>
      <c r="Y24" s="288">
        <f t="shared" ref="Y24" si="24">Y23/T23-1</f>
        <v>0.37482380077741229</v>
      </c>
      <c r="Z24" s="288">
        <f t="shared" ref="Z24" si="25">Z23/U23-1</f>
        <v>7.7006657238453347E-2</v>
      </c>
      <c r="AA24" s="288">
        <f t="shared" ref="AA24" si="26">AA23/V23-1</f>
        <v>5.5148707218651838E-2</v>
      </c>
      <c r="AB24" s="288">
        <f>AB23/W23-1</f>
        <v>0.25120352188509543</v>
      </c>
      <c r="AC24" s="288">
        <f t="shared" ref="AC24" si="27">AC23/X23-1</f>
        <v>0.1769890403726444</v>
      </c>
      <c r="AD24" s="288">
        <f t="shared" ref="AD24" si="28">AD23/Y23-1</f>
        <v>0.2796402162430871</v>
      </c>
      <c r="AE24" s="288">
        <f t="shared" ref="AE24" si="29">AE23/Z23-1</f>
        <v>0.61745159895591462</v>
      </c>
      <c r="AF24" s="89"/>
      <c r="AG24" s="89"/>
      <c r="AH24" s="288">
        <f t="shared" ref="AH24" si="30">AH23/AC23-1</f>
        <v>0.36794348828319889</v>
      </c>
      <c r="AI24" s="85"/>
      <c r="AJ24" s="85"/>
    </row>
    <row r="25" spans="2:36" x14ac:dyDescent="0.25">
      <c r="B25" s="283" t="s">
        <v>225</v>
      </c>
      <c r="C25" s="284"/>
      <c r="D25" s="282"/>
      <c r="E25" s="285"/>
      <c r="F25" s="285"/>
      <c r="G25" s="285"/>
      <c r="H25" s="285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>
        <f t="shared" ref="S25:AE25" si="31">S23/S$13</f>
        <v>-0.28755467376110383</v>
      </c>
      <c r="T25" s="289">
        <f t="shared" si="31"/>
        <v>-0.22519238168526357</v>
      </c>
      <c r="U25" s="289">
        <f t="shared" si="31"/>
        <v>-0.19702133587954862</v>
      </c>
      <c r="V25" s="289">
        <f t="shared" si="31"/>
        <v>-0.200628481988114</v>
      </c>
      <c r="W25" s="289">
        <f t="shared" si="31"/>
        <v>-0.19715513150335939</v>
      </c>
      <c r="X25" s="289">
        <f>X23/X$13</f>
        <v>-0.19775188185170839</v>
      </c>
      <c r="Y25" s="289">
        <f t="shared" si="31"/>
        <v>-0.20294460733314418</v>
      </c>
      <c r="Z25" s="289">
        <f t="shared" si="31"/>
        <v>-0.26059976296593051</v>
      </c>
      <c r="AA25" s="289">
        <f t="shared" si="31"/>
        <v>-0.24371215730135387</v>
      </c>
      <c r="AB25" s="289">
        <f t="shared" si="31"/>
        <v>-0.25553694096948215</v>
      </c>
      <c r="AC25" s="289">
        <f>AC23/AC$13</f>
        <v>-0.23651279032558903</v>
      </c>
      <c r="AD25" s="289">
        <f t="shared" si="31"/>
        <v>-0.25956351307065972</v>
      </c>
      <c r="AE25" s="289">
        <f t="shared" si="31"/>
        <v>-0.2546034306744136</v>
      </c>
      <c r="AF25" s="91">
        <f>AVERAGE(Y25:AB25)</f>
        <v>-0.24069836714247766</v>
      </c>
      <c r="AG25" s="91">
        <f>AF25</f>
        <v>-0.24069836714247766</v>
      </c>
      <c r="AH25" s="289">
        <f>AH23/AH$13</f>
        <v>-0.25748439991491734</v>
      </c>
      <c r="AI25" s="338">
        <v>-0.25</v>
      </c>
      <c r="AJ25" s="338">
        <f>AI25</f>
        <v>-0.25</v>
      </c>
    </row>
    <row r="26" spans="2:36" x14ac:dyDescent="0.25">
      <c r="B26" s="39" t="str">
        <f>'Raw Input'!A11</f>
        <v>Royalties and others</v>
      </c>
      <c r="C26" s="68"/>
      <c r="E26" s="69"/>
      <c r="F26" s="69"/>
      <c r="G26" s="69"/>
      <c r="H26" s="69"/>
      <c r="I26" s="275"/>
      <c r="J26" s="275"/>
      <c r="K26" s="275"/>
      <c r="L26" s="275"/>
      <c r="M26" s="275"/>
      <c r="N26" s="275"/>
      <c r="O26" s="275"/>
      <c r="P26" s="275"/>
      <c r="Q26" s="275"/>
      <c r="R26" s="275"/>
      <c r="S26" s="275">
        <f>'Raw Input'!B11</f>
        <v>-99364</v>
      </c>
      <c r="T26" s="275">
        <f>'Raw Input'!C11</f>
        <v>-29177</v>
      </c>
      <c r="U26" s="275">
        <f>'Raw Input'!D11</f>
        <v>-37079</v>
      </c>
      <c r="V26" s="275">
        <f>'Raw Input'!E11</f>
        <v>-39171</v>
      </c>
      <c r="W26" s="275">
        <f>'Raw Input'!F11</f>
        <v>-51601</v>
      </c>
      <c r="X26" s="275">
        <f>'Raw Input'!G11</f>
        <v>-188677</v>
      </c>
      <c r="Y26" s="275">
        <f>'Raw Input'!H11</f>
        <v>-48972</v>
      </c>
      <c r="Z26" s="275">
        <f>'Raw Input'!I11</f>
        <v>-36593</v>
      </c>
      <c r="AA26" s="275">
        <f>'Raw Input'!J11</f>
        <v>-31581</v>
      </c>
      <c r="AB26" s="275">
        <f>'Raw Input'!K11</f>
        <v>-46593</v>
      </c>
      <c r="AC26" s="275">
        <f>'Raw Input'!L11</f>
        <v>-176813</v>
      </c>
      <c r="AD26" s="275">
        <f>'Raw Input'!M11</f>
        <v>-44782</v>
      </c>
      <c r="AE26" s="275">
        <f>'Raw Input'!N11</f>
        <v>-56790</v>
      </c>
      <c r="AF26" s="89"/>
      <c r="AG26" s="89"/>
      <c r="AH26" s="89"/>
      <c r="AI26" s="85"/>
      <c r="AJ26" s="85"/>
    </row>
    <row r="27" spans="2:36" s="276" customFormat="1" x14ac:dyDescent="0.25">
      <c r="B27" s="283" t="s">
        <v>222</v>
      </c>
      <c r="C27" s="284"/>
      <c r="D27" s="282"/>
      <c r="E27" s="285"/>
      <c r="F27" s="285"/>
      <c r="G27" s="285"/>
      <c r="H27" s="285"/>
      <c r="I27" s="286"/>
      <c r="J27" s="287"/>
      <c r="K27" s="287"/>
      <c r="L27" s="287"/>
      <c r="M27" s="287"/>
      <c r="N27" s="288"/>
      <c r="O27" s="288"/>
      <c r="P27" s="288"/>
      <c r="Q27" s="288"/>
      <c r="R27" s="288"/>
      <c r="S27" s="288"/>
      <c r="T27" s="288"/>
      <c r="U27" s="288"/>
      <c r="V27" s="288"/>
      <c r="W27" s="288"/>
      <c r="X27" s="288">
        <f>X26/S26-1</f>
        <v>0.89884666478805197</v>
      </c>
      <c r="Y27" s="288">
        <f t="shared" ref="Y27" si="32">Y26/T26-1</f>
        <v>0.6784453507900059</v>
      </c>
      <c r="Z27" s="288">
        <f t="shared" ref="Z27" si="33">Z26/U26-1</f>
        <v>-1.3107149599503765E-2</v>
      </c>
      <c r="AA27" s="288">
        <f t="shared" ref="AA27" si="34">AA26/V26-1</f>
        <v>-0.19376579612468403</v>
      </c>
      <c r="AB27" s="288">
        <f>AB26/W26-1</f>
        <v>-9.7052382705761553E-2</v>
      </c>
      <c r="AC27" s="288">
        <f t="shared" ref="AC27" si="35">AC26/X26-1</f>
        <v>-6.2879948271384434E-2</v>
      </c>
      <c r="AD27" s="288">
        <f t="shared" ref="AD27" si="36">AD26/Y26-1</f>
        <v>-8.555909499305725E-2</v>
      </c>
      <c r="AE27" s="288">
        <f t="shared" ref="AE27" si="37">AE26/Z26-1</f>
        <v>0.55193616265405954</v>
      </c>
      <c r="AF27" s="280"/>
      <c r="AG27" s="280"/>
      <c r="AH27" s="280"/>
      <c r="AI27" s="281"/>
      <c r="AJ27" s="281"/>
    </row>
    <row r="28" spans="2:36" x14ac:dyDescent="0.25">
      <c r="B28" s="283" t="s">
        <v>225</v>
      </c>
      <c r="C28" s="284"/>
      <c r="D28" s="282"/>
      <c r="E28" s="285"/>
      <c r="F28" s="285"/>
      <c r="G28" s="285"/>
      <c r="H28" s="285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>
        <f t="shared" ref="S28:AE28" si="38">S26/S$13</f>
        <v>-0.14934992710165187</v>
      </c>
      <c r="T28" s="289">
        <f t="shared" si="38"/>
        <v>-0.14032801077337437</v>
      </c>
      <c r="U28" s="289">
        <f t="shared" si="38"/>
        <v>-0.12599348268562283</v>
      </c>
      <c r="V28" s="289">
        <f t="shared" si="38"/>
        <v>-0.11745356849434187</v>
      </c>
      <c r="W28" s="289">
        <f t="shared" si="38"/>
        <v>-0.16110410370407374</v>
      </c>
      <c r="X28" s="289">
        <f t="shared" si="38"/>
        <v>-0.15886448983715878</v>
      </c>
      <c r="Y28" s="289">
        <f t="shared" si="38"/>
        <v>-0.15439326586588481</v>
      </c>
      <c r="Z28" s="289">
        <f t="shared" si="38"/>
        <v>-0.15270753000484083</v>
      </c>
      <c r="AA28" s="289">
        <f t="shared" si="38"/>
        <v>-0.10901804022286199</v>
      </c>
      <c r="AB28" s="289">
        <f t="shared" si="38"/>
        <v>-0.15069082394338865</v>
      </c>
      <c r="AC28" s="289">
        <f t="shared" si="38"/>
        <v>-0.15128074375371114</v>
      </c>
      <c r="AD28" s="289">
        <f t="shared" si="38"/>
        <v>-0.14111144722579344</v>
      </c>
      <c r="AE28" s="289">
        <f t="shared" si="38"/>
        <v>-0.14315062450373695</v>
      </c>
      <c r="AF28" s="83"/>
      <c r="AG28" s="83"/>
      <c r="AH28" s="85"/>
      <c r="AI28" s="85"/>
      <c r="AJ28" s="85"/>
    </row>
    <row r="29" spans="2:36" x14ac:dyDescent="0.25">
      <c r="B29" s="39" t="str">
        <f>'Raw Input'!A12</f>
        <v>Other non-cash costs related to the transfer of conventional assets</v>
      </c>
      <c r="C29" s="68"/>
      <c r="E29" s="69"/>
      <c r="F29" s="69"/>
      <c r="G29" s="69"/>
      <c r="H29" s="69"/>
      <c r="I29" s="275"/>
      <c r="J29" s="275"/>
      <c r="K29" s="275"/>
      <c r="L29" s="275"/>
      <c r="M29" s="275"/>
      <c r="N29" s="275"/>
      <c r="O29" s="275"/>
      <c r="P29" s="275"/>
      <c r="Q29" s="275"/>
      <c r="R29" s="275"/>
      <c r="S29" s="275" t="str">
        <f>'Raw Input'!B12</f>
        <v>— </v>
      </c>
      <c r="T29" s="275" t="str">
        <f>'Raw Input'!C12</f>
        <v>—</v>
      </c>
      <c r="U29" s="275" t="str">
        <f>'Raw Input'!D12</f>
        <v>—</v>
      </c>
      <c r="V29" s="275" t="str">
        <f>'Raw Input'!E12</f>
        <v>— </v>
      </c>
      <c r="W29" s="275" t="str">
        <f>'Raw Input'!F12</f>
        <v>— </v>
      </c>
      <c r="X29" s="275" t="str">
        <f>'Raw Input'!G12</f>
        <v>— </v>
      </c>
      <c r="Y29" s="275">
        <f>'Raw Input'!H12</f>
        <v>-3233</v>
      </c>
      <c r="Z29" s="275">
        <f>'Raw Input'!I12</f>
        <v>-6165</v>
      </c>
      <c r="AA29" s="275">
        <f>'Raw Input'!J12</f>
        <v>-10169</v>
      </c>
      <c r="AB29" s="275">
        <f>'Raw Input'!K12</f>
        <v>-7972</v>
      </c>
      <c r="AC29" s="275">
        <f>'Raw Input'!L12</f>
        <v>-27539</v>
      </c>
      <c r="AD29" s="275">
        <f>'Raw Input'!M12</f>
        <v>-9105</v>
      </c>
      <c r="AE29" s="275">
        <f>'Raw Input'!N12</f>
        <v>-7792</v>
      </c>
      <c r="AF29" s="111"/>
      <c r="AG29" s="111"/>
      <c r="AH29" s="85"/>
      <c r="AI29" s="85"/>
      <c r="AJ29" s="85"/>
    </row>
    <row r="30" spans="2:36" x14ac:dyDescent="0.25">
      <c r="B30" s="283" t="s">
        <v>222</v>
      </c>
      <c r="C30" s="284"/>
      <c r="D30" s="282"/>
      <c r="E30" s="285"/>
      <c r="F30" s="285"/>
      <c r="G30" s="285"/>
      <c r="H30" s="285"/>
      <c r="I30" s="286"/>
      <c r="J30" s="287"/>
      <c r="K30" s="287"/>
      <c r="L30" s="287"/>
      <c r="M30" s="287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 t="e">
        <f>X29/S29-1</f>
        <v>#VALUE!</v>
      </c>
      <c r="Y30" s="288" t="e">
        <f t="shared" ref="Y30" si="39">Y29/T29-1</f>
        <v>#VALUE!</v>
      </c>
      <c r="Z30" s="288" t="e">
        <f t="shared" ref="Z30" si="40">Z29/U29-1</f>
        <v>#VALUE!</v>
      </c>
      <c r="AA30" s="288" t="e">
        <f t="shared" ref="AA30" si="41">AA29/V29-1</f>
        <v>#VALUE!</v>
      </c>
      <c r="AB30" s="288" t="e">
        <f>AB29/W29-1</f>
        <v>#VALUE!</v>
      </c>
      <c r="AC30" s="288" t="e">
        <f t="shared" ref="AC30" si="42">AC29/X29-1</f>
        <v>#VALUE!</v>
      </c>
      <c r="AD30" s="288">
        <f t="shared" ref="AD30" si="43">AD29/Y29-1</f>
        <v>1.8162697185276833</v>
      </c>
      <c r="AE30" s="288">
        <f t="shared" ref="AE30" si="44">AE29/Z29-1</f>
        <v>0.26390916463909164</v>
      </c>
      <c r="AF30" s="83"/>
      <c r="AG30" s="83"/>
      <c r="AH30" s="112"/>
      <c r="AI30" s="90"/>
      <c r="AJ30" s="90"/>
    </row>
    <row r="31" spans="2:36" s="282" customFormat="1" x14ac:dyDescent="0.25">
      <c r="B31" s="283" t="s">
        <v>225</v>
      </c>
      <c r="C31" s="284"/>
      <c r="E31" s="285"/>
      <c r="F31" s="285"/>
      <c r="G31" s="285"/>
      <c r="H31" s="285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 t="e">
        <f t="shared" ref="S31:AE31" si="45">S29/S$13</f>
        <v>#VALUE!</v>
      </c>
      <c r="T31" s="289" t="e">
        <f t="shared" si="45"/>
        <v>#VALUE!</v>
      </c>
      <c r="U31" s="289" t="e">
        <f t="shared" si="45"/>
        <v>#VALUE!</v>
      </c>
      <c r="V31" s="289" t="e">
        <f t="shared" si="45"/>
        <v>#VALUE!</v>
      </c>
      <c r="W31" s="289" t="e">
        <f t="shared" si="45"/>
        <v>#VALUE!</v>
      </c>
      <c r="X31" s="289" t="e">
        <f t="shared" si="45"/>
        <v>#VALUE!</v>
      </c>
      <c r="Y31" s="289">
        <f t="shared" si="45"/>
        <v>-1.0192629023613608E-2</v>
      </c>
      <c r="Z31" s="289">
        <f t="shared" si="45"/>
        <v>-2.5727377435024287E-2</v>
      </c>
      <c r="AA31" s="289">
        <f t="shared" si="45"/>
        <v>-3.5103525886649681E-2</v>
      </c>
      <c r="AB31" s="289">
        <f t="shared" si="45"/>
        <v>-2.578299848639698E-2</v>
      </c>
      <c r="AC31" s="289">
        <f t="shared" si="45"/>
        <v>-2.3562296902566279E-2</v>
      </c>
      <c r="AD31" s="289">
        <f t="shared" si="45"/>
        <v>-2.8690539211979126E-2</v>
      </c>
      <c r="AE31" s="289">
        <f t="shared" si="45"/>
        <v>-1.9641304210831455E-2</v>
      </c>
      <c r="AF31" s="286"/>
      <c r="AG31" s="286"/>
      <c r="AH31" s="286"/>
      <c r="AI31" s="286"/>
      <c r="AJ31" s="286"/>
    </row>
    <row r="32" spans="2:36" s="282" customFormat="1" x14ac:dyDescent="0.25">
      <c r="B32" s="60" t="s">
        <v>215</v>
      </c>
      <c r="C32" s="68"/>
      <c r="D32" s="37"/>
      <c r="E32" s="69"/>
      <c r="F32" s="69"/>
      <c r="G32" s="69"/>
      <c r="H32" s="69"/>
      <c r="I32" s="275"/>
      <c r="J32" s="275"/>
      <c r="K32" s="275"/>
      <c r="L32" s="275"/>
      <c r="M32" s="275"/>
      <c r="N32" s="275"/>
      <c r="O32" s="275"/>
      <c r="P32" s="275"/>
      <c r="Q32" s="275"/>
      <c r="R32" s="275"/>
      <c r="S32" s="275">
        <f t="shared" ref="S32:AE32" si="46">SUM(S17:S29)</f>
        <v>-398705.5992770287</v>
      </c>
      <c r="T32" s="275">
        <f t="shared" si="46"/>
        <v>-104183.5010725279</v>
      </c>
      <c r="U32" s="275">
        <f t="shared" si="46"/>
        <v>-130096.44206284212</v>
      </c>
      <c r="V32" s="275">
        <f t="shared" si="46"/>
        <v>-145356.43584746119</v>
      </c>
      <c r="W32" s="275">
        <f t="shared" si="46"/>
        <v>-146140.45626545444</v>
      </c>
      <c r="X32" s="275">
        <f t="shared" si="46"/>
        <v>-557423.54522395262</v>
      </c>
      <c r="Y32" s="275">
        <f t="shared" si="46"/>
        <v>-151445.21505769194</v>
      </c>
      <c r="Z32" s="275">
        <f t="shared" si="46"/>
        <v>-123424.42843836392</v>
      </c>
      <c r="AA32" s="275">
        <f t="shared" si="46"/>
        <v>-135484.67496643122</v>
      </c>
      <c r="AB32" s="275">
        <f t="shared" si="46"/>
        <v>-154104.33266624776</v>
      </c>
      <c r="AC32" s="275">
        <f t="shared" si="46"/>
        <v>-577522.53059507336</v>
      </c>
      <c r="AD32" s="275">
        <f t="shared" si="46"/>
        <v>-156670.80978206653</v>
      </c>
      <c r="AE32" s="275">
        <f t="shared" si="46"/>
        <v>-188669.25696084491</v>
      </c>
      <c r="AF32" s="275">
        <f>AF34*AF$13</f>
        <v>-191272.97062947522</v>
      </c>
      <c r="AG32" s="275">
        <f>AG34*AG$13</f>
        <v>-204935.32567443771</v>
      </c>
      <c r="AH32" s="86">
        <f>SUM(AD32:AG32)</f>
        <v>-741548.36304682435</v>
      </c>
      <c r="AI32" s="86">
        <f>AI34*AI13</f>
        <v>-860750.27294897439</v>
      </c>
      <c r="AJ32" s="86">
        <f>AJ34*AJ13</f>
        <v>-979541.24264472141</v>
      </c>
    </row>
    <row r="33" spans="2:36" x14ac:dyDescent="0.25">
      <c r="B33" s="87">
        <f>'Rev Breakdown'!P4</f>
        <v>75000</v>
      </c>
      <c r="C33" s="68"/>
      <c r="E33" s="69"/>
      <c r="F33" s="69"/>
      <c r="G33" s="69"/>
      <c r="H33" s="69"/>
      <c r="I33" s="82"/>
      <c r="J33" s="99"/>
      <c r="K33" s="99"/>
      <c r="L33" s="99"/>
      <c r="M33" s="99"/>
      <c r="N33" s="89"/>
      <c r="O33" s="99"/>
      <c r="P33" s="99"/>
      <c r="Q33" s="99"/>
      <c r="R33" s="99"/>
      <c r="S33" s="89"/>
      <c r="T33" s="89"/>
      <c r="U33" s="89"/>
      <c r="V33" s="89"/>
      <c r="W33" s="89"/>
      <c r="X33" s="89">
        <f>X32/S32-1</f>
        <v>0.39808306237666735</v>
      </c>
      <c r="Y33" s="89">
        <f t="shared" ref="Y33" si="47">Y32/T32-1</f>
        <v>0.45363914150151796</v>
      </c>
      <c r="Z33" s="89">
        <f t="shared" ref="Z33" si="48">Z32/U32-1</f>
        <v>-5.1285135232640222E-2</v>
      </c>
      <c r="AA33" s="89">
        <f t="shared" ref="AA33" si="49">AA32/V32-1</f>
        <v>-6.7914164401977506E-2</v>
      </c>
      <c r="AB33" s="89">
        <f>AB32/W32-1</f>
        <v>5.4494673167897245E-2</v>
      </c>
      <c r="AC33" s="89">
        <f t="shared" ref="AC33" si="50">AC32/X32-1</f>
        <v>3.6056936495292291E-2</v>
      </c>
      <c r="AD33" s="89">
        <f t="shared" ref="AD33" si="51">AD32/Y32-1</f>
        <v>3.4504851951802751E-2</v>
      </c>
      <c r="AE33" s="89">
        <f t="shared" ref="AE33" si="52">AE32/Z32-1</f>
        <v>0.52862167844725461</v>
      </c>
      <c r="AF33" s="83"/>
      <c r="AG33" s="83"/>
      <c r="AH33" s="112"/>
      <c r="AI33" s="90"/>
      <c r="AJ33" s="90"/>
    </row>
    <row r="34" spans="2:36" s="60" customFormat="1" x14ac:dyDescent="0.25">
      <c r="B34" s="87" t="s">
        <v>225</v>
      </c>
      <c r="C34" s="68"/>
      <c r="D34" s="37"/>
      <c r="E34" s="69"/>
      <c r="F34" s="69"/>
      <c r="G34" s="69"/>
      <c r="H34" s="69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289">
        <f t="shared" ref="S34:AE34" si="53">S32/S$13</f>
        <v>-0.59927792950207981</v>
      </c>
      <c r="T34" s="289">
        <f t="shared" si="53"/>
        <v>-0.5010749378247783</v>
      </c>
      <c r="U34" s="289">
        <f t="shared" si="53"/>
        <v>-0.44206434425162039</v>
      </c>
      <c r="V34" s="289">
        <f t="shared" si="53"/>
        <v>-0.4358487680657423</v>
      </c>
      <c r="W34" s="289">
        <f t="shared" si="53"/>
        <v>-0.45626687896650114</v>
      </c>
      <c r="X34" s="289">
        <f t="shared" si="53"/>
        <v>-0.46934606303483539</v>
      </c>
      <c r="Y34" s="289">
        <f t="shared" si="53"/>
        <v>-0.47745898375639817</v>
      </c>
      <c r="Z34" s="289">
        <f t="shared" si="53"/>
        <v>-0.51506680537484728</v>
      </c>
      <c r="AA34" s="289">
        <f t="shared" si="53"/>
        <v>-0.46769493508982563</v>
      </c>
      <c r="AB34" s="289">
        <f t="shared" si="53"/>
        <v>-0.49840338382853516</v>
      </c>
      <c r="AC34" s="289">
        <f t="shared" si="53"/>
        <v>-0.49412677779885023</v>
      </c>
      <c r="AD34" s="289">
        <f t="shared" si="53"/>
        <v>-0.49368149493958297</v>
      </c>
      <c r="AE34" s="289">
        <f t="shared" si="53"/>
        <v>-0.47557883357282915</v>
      </c>
      <c r="AF34" s="91">
        <f>AVERAGE(Y34:AB34)</f>
        <v>-0.48965602701240157</v>
      </c>
      <c r="AG34" s="91">
        <f>AF34</f>
        <v>-0.48965602701240157</v>
      </c>
      <c r="AH34" s="91">
        <f>AH32/AH13</f>
        <v>-0.50493685666858801</v>
      </c>
      <c r="AI34" s="91">
        <v>-0.5</v>
      </c>
      <c r="AJ34" s="91">
        <f>AI34+0.5%</f>
        <v>-0.495</v>
      </c>
    </row>
    <row r="35" spans="2:36" s="290" customFormat="1" x14ac:dyDescent="0.25">
      <c r="B35" s="92" t="s">
        <v>88</v>
      </c>
      <c r="C35" s="93"/>
      <c r="D35" s="92"/>
      <c r="E35" s="94"/>
      <c r="F35" s="94"/>
      <c r="G35" s="94"/>
      <c r="H35" s="94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>
        <f>'Raw Input'!B14</f>
        <v>266605</v>
      </c>
      <c r="T35" s="95">
        <f>'Raw Input'!C14</f>
        <v>103737</v>
      </c>
      <c r="U35" s="95">
        <f>'Raw Input'!D14</f>
        <v>164197</v>
      </c>
      <c r="V35" s="95">
        <f>'Raw Input'!E14</f>
        <v>188146</v>
      </c>
      <c r="W35" s="95">
        <f>'Raw Input'!F14</f>
        <v>174156</v>
      </c>
      <c r="X35" s="95">
        <f>'Raw Input'!G14</f>
        <v>630236</v>
      </c>
      <c r="Y35" s="95">
        <f>'Raw Input'!H14</f>
        <v>165747</v>
      </c>
      <c r="Z35" s="95">
        <f>'Raw Input'!I14</f>
        <v>116206</v>
      </c>
      <c r="AA35" s="95">
        <f>'Raw Input'!J14</f>
        <v>154203</v>
      </c>
      <c r="AB35" s="95">
        <f>'Raw Input'!K14</f>
        <v>155093</v>
      </c>
      <c r="AC35" s="95">
        <f>'Raw Input'!L14</f>
        <v>591249</v>
      </c>
      <c r="AD35" s="95">
        <f>'Raw Input'!M14</f>
        <v>160683</v>
      </c>
      <c r="AE35" s="95">
        <f>'Raw Input'!N14</f>
        <v>208044</v>
      </c>
      <c r="AF35" s="96">
        <f>AF13+AF32</f>
        <v>199354.24537052479</v>
      </c>
      <c r="AG35" s="96">
        <f>AG13+AG32</f>
        <v>213593.83432556226</v>
      </c>
      <c r="AH35" s="97">
        <f>AH13+AH32</f>
        <v>727047.86488417571</v>
      </c>
      <c r="AI35" s="97">
        <f>AI13+AI32</f>
        <v>860750.27294897439</v>
      </c>
      <c r="AJ35" s="97">
        <f>AJ13+AJ32</f>
        <v>999329.95461734198</v>
      </c>
    </row>
    <row r="36" spans="2:36" s="60" customFormat="1" x14ac:dyDescent="0.25">
      <c r="B36" s="87" t="s">
        <v>222</v>
      </c>
      <c r="C36" s="68"/>
      <c r="D36" s="37"/>
      <c r="E36" s="69"/>
      <c r="F36" s="69"/>
      <c r="G36" s="69"/>
      <c r="H36" s="69"/>
      <c r="I36" s="88"/>
      <c r="J36" s="99"/>
      <c r="K36" s="99"/>
      <c r="L36" s="99"/>
      <c r="M36" s="9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>
        <f>X35/S35-1</f>
        <v>1.3639316591961892</v>
      </c>
      <c r="Y36" s="89">
        <f t="shared" ref="Y36" si="54">Y35/T35-1</f>
        <v>0.59776164724254599</v>
      </c>
      <c r="Z36" s="89">
        <f t="shared" ref="Z36" si="55">Z35/U35-1</f>
        <v>-0.29227695999317893</v>
      </c>
      <c r="AA36" s="89">
        <f t="shared" ref="AA36" si="56">AA35/V35-1</f>
        <v>-0.18040776843515138</v>
      </c>
      <c r="AB36" s="89">
        <f>AB35/W35-1</f>
        <v>-0.10945933530857388</v>
      </c>
      <c r="AC36" s="89">
        <f t="shared" ref="AC36" si="57">AC35/X35-1</f>
        <v>-6.1860953674496511E-2</v>
      </c>
      <c r="AD36" s="89">
        <f t="shared" ref="AD36" si="58">AD35/Y35-1</f>
        <v>-3.055258918713466E-2</v>
      </c>
      <c r="AE36" s="89">
        <f t="shared" ref="AE36:AG36" si="59">AE35/Z35-1</f>
        <v>0.79030342667332154</v>
      </c>
      <c r="AF36" s="89">
        <f t="shared" si="59"/>
        <v>0.29280393617844513</v>
      </c>
      <c r="AG36" s="89">
        <f t="shared" si="59"/>
        <v>0.37719841853315272</v>
      </c>
      <c r="AH36" s="89">
        <f>AH35/AC35-1</f>
        <v>0.22968134387402883</v>
      </c>
      <c r="AI36" s="89">
        <f>AI35/AH35-1</f>
        <v>0.18389766963430731</v>
      </c>
      <c r="AJ36" s="89">
        <f>AJ35/AI35-1</f>
        <v>0.16099870778267267</v>
      </c>
    </row>
    <row r="37" spans="2:36" s="60" customFormat="1" x14ac:dyDescent="0.25">
      <c r="B37" s="277" t="s">
        <v>226</v>
      </c>
      <c r="C37" s="278"/>
      <c r="D37" s="276"/>
      <c r="E37" s="279"/>
      <c r="F37" s="279"/>
      <c r="G37" s="279"/>
      <c r="H37" s="279"/>
      <c r="I37" s="280"/>
      <c r="J37" s="280"/>
      <c r="K37" s="280"/>
      <c r="L37" s="280"/>
      <c r="M37" s="280"/>
      <c r="N37" s="280"/>
      <c r="O37" s="280"/>
      <c r="P37" s="280"/>
      <c r="Q37" s="280"/>
      <c r="R37" s="280"/>
      <c r="S37" s="280">
        <f t="shared" ref="S37:AG37" si="60">S35/S$13</f>
        <v>0.40072297124648659</v>
      </c>
      <c r="T37" s="280">
        <f t="shared" si="60"/>
        <v>0.49892747210465566</v>
      </c>
      <c r="U37" s="280">
        <f t="shared" si="60"/>
        <v>0.55793715786648002</v>
      </c>
      <c r="V37" s="280">
        <f t="shared" si="60"/>
        <v>0.56415253881535943</v>
      </c>
      <c r="W37" s="280">
        <f t="shared" si="60"/>
        <v>0.54373454554537048</v>
      </c>
      <c r="X37" s="280">
        <f t="shared" si="60"/>
        <v>0.53065355404745462</v>
      </c>
      <c r="Y37" s="280">
        <f t="shared" si="60"/>
        <v>0.52254799962167786</v>
      </c>
      <c r="Z37" s="280">
        <f t="shared" si="60"/>
        <v>0.4849433288263475</v>
      </c>
      <c r="AA37" s="280">
        <f t="shared" si="60"/>
        <v>0.5323108469170067</v>
      </c>
      <c r="AB37" s="280">
        <f t="shared" si="60"/>
        <v>0.50160092627330233</v>
      </c>
      <c r="AC37" s="280">
        <f t="shared" si="60"/>
        <v>0.5058711093847057</v>
      </c>
      <c r="AD37" s="280">
        <f t="shared" si="60"/>
        <v>0.50632420781970811</v>
      </c>
      <c r="AE37" s="280">
        <f t="shared" si="60"/>
        <v>0.52441677274617804</v>
      </c>
      <c r="AF37" s="280">
        <f t="shared" si="60"/>
        <v>0.51034397298759848</v>
      </c>
      <c r="AG37" s="280">
        <f t="shared" si="60"/>
        <v>0.51034397298759848</v>
      </c>
      <c r="AH37" s="280">
        <f>AH35/AH$13</f>
        <v>0.49506314333141199</v>
      </c>
      <c r="AI37" s="280">
        <f>AI35/AI$13</f>
        <v>0.5</v>
      </c>
      <c r="AJ37" s="280">
        <f>AJ35/AJ$13</f>
        <v>0.505</v>
      </c>
    </row>
    <row r="38" spans="2:36" s="290" customFormat="1" x14ac:dyDescent="0.25">
      <c r="B38" s="110"/>
      <c r="C38" s="68"/>
      <c r="D38" s="37"/>
      <c r="E38" s="69"/>
      <c r="F38" s="69"/>
      <c r="G38" s="69"/>
      <c r="H38" s="69"/>
      <c r="I38" s="82"/>
      <c r="J38" s="83"/>
      <c r="K38" s="83"/>
      <c r="L38" s="83"/>
      <c r="M38" s="83"/>
      <c r="N38" s="82"/>
      <c r="O38" s="83"/>
      <c r="P38" s="83"/>
      <c r="Q38" s="83"/>
      <c r="R38" s="83"/>
      <c r="S38" s="82"/>
      <c r="T38" s="83"/>
      <c r="U38" s="83"/>
      <c r="V38" s="83"/>
      <c r="W38" s="83"/>
      <c r="X38" s="82"/>
      <c r="Y38" s="83"/>
      <c r="Z38" s="83"/>
      <c r="AA38" s="83"/>
      <c r="AB38" s="83"/>
      <c r="AC38" s="82"/>
      <c r="AD38" s="83"/>
      <c r="AE38" s="83"/>
      <c r="AF38" s="83"/>
      <c r="AG38" s="83"/>
      <c r="AH38" s="112"/>
      <c r="AI38" s="85"/>
      <c r="AJ38" s="85"/>
    </row>
    <row r="39" spans="2:36" s="60" customFormat="1" x14ac:dyDescent="0.25">
      <c r="B39" s="104" t="s">
        <v>16</v>
      </c>
      <c r="C39" s="68"/>
      <c r="D39" s="37"/>
      <c r="E39" s="69"/>
      <c r="F39" s="69"/>
      <c r="G39" s="69"/>
      <c r="H39" s="69"/>
      <c r="I39" s="88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111"/>
      <c r="AF39" s="83"/>
      <c r="AG39" s="83"/>
      <c r="AH39" s="112"/>
      <c r="AI39" s="85"/>
      <c r="AJ39" s="85"/>
    </row>
    <row r="40" spans="2:36" x14ac:dyDescent="0.25">
      <c r="B40" s="37" t="str">
        <f>'Raw Input'!A16</f>
        <v>Selling expenses</v>
      </c>
      <c r="C40" s="68"/>
      <c r="E40" s="69"/>
      <c r="F40" s="69"/>
      <c r="G40" s="69"/>
      <c r="H40" s="69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>
        <f>'Raw Input'!B16</f>
        <v>-42748</v>
      </c>
      <c r="T40" s="82">
        <f>'Raw Input'!C16</f>
        <v>-12566</v>
      </c>
      <c r="U40" s="82">
        <f>'Raw Input'!D16</f>
        <v>-14444</v>
      </c>
      <c r="V40" s="82">
        <f>'Raw Input'!E16</f>
        <v>-14047</v>
      </c>
      <c r="W40" s="82">
        <f>'Raw Input'!F16</f>
        <v>-18847</v>
      </c>
      <c r="X40" s="82">
        <f>'Raw Input'!G16</f>
        <v>-59904</v>
      </c>
      <c r="Y40" s="82">
        <f>'Raw Input'!H16</f>
        <v>-16717</v>
      </c>
      <c r="Z40" s="82">
        <f>'Raw Input'!I16</f>
        <v>-15232</v>
      </c>
      <c r="AA40" s="82">
        <f>'Raw Input'!J16</f>
        <v>-17673</v>
      </c>
      <c r="AB40" s="82">
        <f>'Raw Input'!K16</f>
        <v>-19170</v>
      </c>
      <c r="AC40" s="82">
        <f>'Raw Input'!L16</f>
        <v>-68792</v>
      </c>
      <c r="AD40" s="82">
        <f>'Raw Input'!M16</f>
        <v>-18839</v>
      </c>
      <c r="AE40" s="82">
        <f>'Raw Input'!N16</f>
        <v>-22140</v>
      </c>
      <c r="AF40" s="82">
        <f>AF42*AF$13</f>
        <v>-23366.886828494655</v>
      </c>
      <c r="AG40" s="82">
        <f>AG42*AG$13</f>
        <v>-25035.950173387129</v>
      </c>
      <c r="AH40" s="85">
        <f>SUM(AD40:AG40)</f>
        <v>-89381.83700188178</v>
      </c>
      <c r="AI40" s="85">
        <f>AI$13*AI42</f>
        <v>-104774.12257069365</v>
      </c>
      <c r="AJ40" s="85">
        <f>AJ$13*AJ42</f>
        <v>-120438.23852835514</v>
      </c>
    </row>
    <row r="41" spans="2:36" s="282" customFormat="1" x14ac:dyDescent="0.25">
      <c r="B41" s="283" t="s">
        <v>222</v>
      </c>
      <c r="C41" s="284"/>
      <c r="E41" s="285"/>
      <c r="F41" s="285"/>
      <c r="G41" s="285"/>
      <c r="H41" s="285"/>
      <c r="I41" s="286"/>
      <c r="J41" s="287"/>
      <c r="K41" s="287"/>
      <c r="L41" s="287"/>
      <c r="M41" s="287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288">
        <f>X40/S40-1</f>
        <v>0.40132871713296536</v>
      </c>
      <c r="Y41" s="288">
        <f t="shared" ref="Y41" si="61">Y40/T40-1</f>
        <v>0.33033582683431484</v>
      </c>
      <c r="Z41" s="288">
        <f t="shared" ref="Z41" si="62">Z40/U40-1</f>
        <v>5.4555524785377951E-2</v>
      </c>
      <c r="AA41" s="288">
        <f t="shared" ref="AA41" si="63">AA40/V40-1</f>
        <v>0.25813340926888295</v>
      </c>
      <c r="AB41" s="288">
        <f>AB40/W40-1</f>
        <v>1.7138006048708077E-2</v>
      </c>
      <c r="AC41" s="288">
        <f t="shared" ref="AC41" si="64">AC40/X40-1</f>
        <v>0.14837072649572658</v>
      </c>
      <c r="AD41" s="288">
        <f t="shared" ref="AD41" si="65">AD40/Y40-1</f>
        <v>0.12693665131303455</v>
      </c>
      <c r="AE41" s="288">
        <f t="shared" ref="AE41" si="66">AE40/Z40-1</f>
        <v>0.45351890756302526</v>
      </c>
      <c r="AF41" s="83"/>
      <c r="AG41" s="83"/>
      <c r="AH41" s="112"/>
      <c r="AI41" s="85"/>
      <c r="AJ41" s="85"/>
    </row>
    <row r="42" spans="2:36" x14ac:dyDescent="0.25">
      <c r="B42" s="283" t="s">
        <v>225</v>
      </c>
      <c r="C42" s="284"/>
      <c r="D42" s="282"/>
      <c r="E42" s="285"/>
      <c r="F42" s="285"/>
      <c r="G42" s="285"/>
      <c r="H42" s="285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>
        <f t="shared" ref="S42:AE42" si="67">S40/S$13</f>
        <v>-6.4252754355112657E-2</v>
      </c>
      <c r="T42" s="289">
        <f t="shared" si="67"/>
        <v>-6.0436706425548291E-2</v>
      </c>
      <c r="U42" s="289">
        <f t="shared" si="67"/>
        <v>-4.9080338302304169E-2</v>
      </c>
      <c r="V42" s="289">
        <f t="shared" si="67"/>
        <v>-4.2119687438156292E-2</v>
      </c>
      <c r="W42" s="289">
        <f t="shared" si="67"/>
        <v>-5.8842445737692636E-2</v>
      </c>
      <c r="X42" s="289">
        <f t="shared" si="67"/>
        <v>-5.0438677736052408E-2</v>
      </c>
      <c r="Y42" s="289">
        <f t="shared" si="67"/>
        <v>-5.2703426968063308E-2</v>
      </c>
      <c r="Z42" s="289">
        <f t="shared" si="67"/>
        <v>-6.3565192715375501E-2</v>
      </c>
      <c r="AA42" s="289">
        <f t="shared" si="67"/>
        <v>-6.1007435637207182E-2</v>
      </c>
      <c r="AB42" s="289">
        <f t="shared" si="67"/>
        <v>-6.1999508402437287E-2</v>
      </c>
      <c r="AC42" s="289">
        <f t="shared" si="67"/>
        <v>-5.885825660050617E-2</v>
      </c>
      <c r="AD42" s="289">
        <f t="shared" si="67"/>
        <v>-5.9363104691320681E-2</v>
      </c>
      <c r="AE42" s="289">
        <f t="shared" si="67"/>
        <v>-5.5808325876258773E-2</v>
      </c>
      <c r="AF42" s="289">
        <f>AVERAGE(Y42:AB42)</f>
        <v>-5.9818890930770821E-2</v>
      </c>
      <c r="AG42" s="289">
        <f>AF42</f>
        <v>-5.9818890930770821E-2</v>
      </c>
      <c r="AH42" s="289">
        <f>AH40/AH$13</f>
        <v>-6.0862090819752031E-2</v>
      </c>
      <c r="AI42" s="289">
        <f>AH42</f>
        <v>-6.0862090819752031E-2</v>
      </c>
      <c r="AJ42" s="289">
        <f>AI42</f>
        <v>-6.0862090819752031E-2</v>
      </c>
    </row>
    <row r="43" spans="2:36" x14ac:dyDescent="0.25">
      <c r="B43" s="37" t="str">
        <f>'Raw Input'!A17</f>
        <v>General and administrative expenses</v>
      </c>
      <c r="C43" s="68"/>
      <c r="E43" s="69"/>
      <c r="F43" s="69"/>
      <c r="G43" s="69"/>
      <c r="H43" s="69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>
        <f>'Raw Input'!B17</f>
        <v>-45858</v>
      </c>
      <c r="T43" s="82">
        <f>'Raw Input'!C17</f>
        <v>-12463</v>
      </c>
      <c r="U43" s="82">
        <f>'Raw Input'!D17</f>
        <v>-15888</v>
      </c>
      <c r="V43" s="82">
        <f>'Raw Input'!E17</f>
        <v>-15860</v>
      </c>
      <c r="W43" s="82">
        <f>'Raw Input'!F17</f>
        <v>-19615</v>
      </c>
      <c r="X43" s="82">
        <f>'Raw Input'!G17</f>
        <v>-63826</v>
      </c>
      <c r="Y43" s="82">
        <f>'Raw Input'!H17</f>
        <v>-17011</v>
      </c>
      <c r="Z43" s="82">
        <f>'Raw Input'!I17</f>
        <v>-19776</v>
      </c>
      <c r="AA43" s="82">
        <f>'Raw Input'!J17</f>
        <v>-15031</v>
      </c>
      <c r="AB43" s="82">
        <f>'Raw Input'!K17</f>
        <v>-18665</v>
      </c>
      <c r="AC43" s="82">
        <f>'Raw Input'!L17</f>
        <v>-70483</v>
      </c>
      <c r="AD43" s="82">
        <f>'Raw Input'!M17</f>
        <v>-22110</v>
      </c>
      <c r="AE43" s="82">
        <f>'Raw Input'!N17</f>
        <v>-22390</v>
      </c>
      <c r="AF43" s="82">
        <f>AF45*AF$13</f>
        <v>-24259.091768981169</v>
      </c>
      <c r="AG43" s="82">
        <f>AG45*AG$13</f>
        <v>-25991.884038194108</v>
      </c>
      <c r="AH43" s="85">
        <f>SUM(AD43:AG43)</f>
        <v>-94750.975807175273</v>
      </c>
      <c r="AI43" s="85">
        <f>AI$13*AI45</f>
        <v>-111067.87112357968</v>
      </c>
      <c r="AJ43" s="85">
        <f>AJ$13*AJ45</f>
        <v>-127672.9255947014</v>
      </c>
    </row>
    <row r="44" spans="2:36" s="282" customFormat="1" x14ac:dyDescent="0.25">
      <c r="B44" s="87" t="s">
        <v>222</v>
      </c>
      <c r="C44" s="73"/>
      <c r="D44" s="60"/>
      <c r="E44" s="74"/>
      <c r="F44" s="74"/>
      <c r="G44" s="74"/>
      <c r="H44" s="74"/>
      <c r="I44" s="82"/>
      <c r="J44" s="99"/>
      <c r="K44" s="99"/>
      <c r="L44" s="99"/>
      <c r="M44" s="9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>
        <f>X43/S43-1</f>
        <v>0.39181822146626533</v>
      </c>
      <c r="Y44" s="89">
        <f t="shared" ref="Y44" si="68">Y43/T43-1</f>
        <v>0.36492016368450608</v>
      </c>
      <c r="Z44" s="89">
        <f>Z43/U43-1</f>
        <v>0.24471299093655596</v>
      </c>
      <c r="AA44" s="89">
        <f t="shared" ref="AA44" si="69">AA43/V43-1</f>
        <v>-5.2269861286254771E-2</v>
      </c>
      <c r="AB44" s="89">
        <f>AB43/W43-1</f>
        <v>-4.8432322202396128E-2</v>
      </c>
      <c r="AC44" s="89">
        <f t="shared" ref="AC44" si="70">AC43/X43-1</f>
        <v>0.10429918841851293</v>
      </c>
      <c r="AD44" s="89">
        <f t="shared" ref="AD44" si="71">AD43/Y43-1</f>
        <v>0.29974722238551532</v>
      </c>
      <c r="AE44" s="89">
        <f t="shared" ref="AE44" si="72">AE43/Z43-1</f>
        <v>0.13218042071197411</v>
      </c>
      <c r="AF44" s="83"/>
      <c r="AG44" s="83"/>
      <c r="AH44" s="112"/>
      <c r="AI44" s="85"/>
      <c r="AJ44" s="85"/>
    </row>
    <row r="45" spans="2:36" x14ac:dyDescent="0.25">
      <c r="B45" s="283" t="s">
        <v>225</v>
      </c>
      <c r="C45" s="291"/>
      <c r="D45" s="290"/>
      <c r="E45" s="292"/>
      <c r="F45" s="292"/>
      <c r="G45" s="292"/>
      <c r="H45" s="292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>
        <f t="shared" ref="S45:AE45" si="73">S43/S$13</f>
        <v>-6.8927266988321231E-2</v>
      </c>
      <c r="T45" s="289">
        <f t="shared" si="73"/>
        <v>-5.9941323585994612E-2</v>
      </c>
      <c r="U45" s="289">
        <f t="shared" si="73"/>
        <v>-5.3987012942883453E-2</v>
      </c>
      <c r="V45" s="289">
        <f t="shared" si="73"/>
        <v>-4.7555936696031809E-2</v>
      </c>
      <c r="W45" s="289">
        <f t="shared" si="73"/>
        <v>-6.1240227789294902E-2</v>
      </c>
      <c r="X45" s="289">
        <f t="shared" si="73"/>
        <v>-5.3740969637775124E-2</v>
      </c>
      <c r="Y45" s="289">
        <f t="shared" si="73"/>
        <v>-5.3630316214256436E-2</v>
      </c>
      <c r="Z45" s="289">
        <f t="shared" si="73"/>
        <v>-8.2527918273323647E-2</v>
      </c>
      <c r="AA45" s="289">
        <f t="shared" si="73"/>
        <v>-5.1887215812983715E-2</v>
      </c>
      <c r="AB45" s="289">
        <f t="shared" si="73"/>
        <v>-6.0366240184219717E-2</v>
      </c>
      <c r="AC45" s="289">
        <f t="shared" si="73"/>
        <v>-6.0305071810290101E-2</v>
      </c>
      <c r="AD45" s="289">
        <f t="shared" si="73"/>
        <v>-6.9670271496634656E-2</v>
      </c>
      <c r="AE45" s="289">
        <f t="shared" si="73"/>
        <v>-5.6438501191031346E-2</v>
      </c>
      <c r="AF45" s="289">
        <f>AVERAGE(Y45:AB45)</f>
        <v>-6.2102922621195877E-2</v>
      </c>
      <c r="AG45" s="289">
        <f>AF45</f>
        <v>-6.2102922621195877E-2</v>
      </c>
      <c r="AH45" s="289">
        <f>AH43/AH$13</f>
        <v>-6.4518057451817865E-2</v>
      </c>
      <c r="AI45" s="289">
        <f>AH45</f>
        <v>-6.4518057451817865E-2</v>
      </c>
      <c r="AJ45" s="289">
        <f>AI45</f>
        <v>-6.4518057451817865E-2</v>
      </c>
    </row>
    <row r="46" spans="2:36" x14ac:dyDescent="0.25">
      <c r="B46" s="37" t="str">
        <f>'Raw Input'!A18</f>
        <v>Exploration expenses</v>
      </c>
      <c r="C46" s="73"/>
      <c r="D46" s="60"/>
      <c r="E46" s="74"/>
      <c r="F46" s="74"/>
      <c r="G46" s="74"/>
      <c r="H46" s="74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>
        <f>'Raw Input'!B18</f>
        <v>-561</v>
      </c>
      <c r="T46" s="82">
        <f>'Raw Input'!C18</f>
        <v>-205</v>
      </c>
      <c r="U46" s="82">
        <f>'Raw Input'!D18</f>
        <v>-187</v>
      </c>
      <c r="V46" s="82">
        <f>'Raw Input'!E18</f>
        <v>-175</v>
      </c>
      <c r="W46" s="82">
        <f>'Raw Input'!F18</f>
        <v>-169</v>
      </c>
      <c r="X46" s="82">
        <f>'Raw Input'!G18</f>
        <v>-736</v>
      </c>
      <c r="Y46" s="82">
        <f>'Raw Input'!H18</f>
        <v>-222</v>
      </c>
      <c r="Z46" s="82">
        <f>'Raw Input'!I18</f>
        <v>-294</v>
      </c>
      <c r="AA46" s="82">
        <f>'Raw Input'!J18</f>
        <v>148</v>
      </c>
      <c r="AB46" s="82">
        <f>'Raw Input'!K18</f>
        <v>352</v>
      </c>
      <c r="AC46" s="82">
        <f>'Raw Input'!L18</f>
        <v>-16</v>
      </c>
      <c r="AD46" s="82">
        <f>'Raw Input'!M18</f>
        <v>-31</v>
      </c>
      <c r="AE46" s="82">
        <f>'Raw Input'!N18</f>
        <v>-2</v>
      </c>
      <c r="AF46" s="82">
        <f>AF48*AF$13</f>
        <v>-27.096168482193882</v>
      </c>
      <c r="AG46" s="82">
        <f>AG48*AG$13</f>
        <v>-29.031609088064869</v>
      </c>
      <c r="AH46" s="85">
        <f>SUM(AD46:AG46)</f>
        <v>-89.127777570258758</v>
      </c>
      <c r="AI46" s="85">
        <f>AI$13*AI48</f>
        <v>-104.47631202078797</v>
      </c>
      <c r="AJ46" s="85">
        <f>AJ$13*AJ48</f>
        <v>-120.09590420795459</v>
      </c>
    </row>
    <row r="47" spans="2:36" s="282" customFormat="1" x14ac:dyDescent="0.25">
      <c r="B47" s="87" t="s">
        <v>222</v>
      </c>
      <c r="C47" s="60"/>
      <c r="D47" s="60"/>
      <c r="E47" s="60"/>
      <c r="F47" s="60"/>
      <c r="G47" s="60"/>
      <c r="H47" s="60"/>
      <c r="I47" s="82"/>
      <c r="J47" s="99"/>
      <c r="K47" s="99"/>
      <c r="L47" s="99"/>
      <c r="M47" s="9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>
        <f>X46/S46-1</f>
        <v>0.31194295900178259</v>
      </c>
      <c r="Y47" s="89">
        <f t="shared" ref="Y47" si="74">Y46/T46-1</f>
        <v>8.2926829268292757E-2</v>
      </c>
      <c r="Z47" s="89">
        <f t="shared" ref="Z47" si="75">Z46/U46-1</f>
        <v>0.57219251336898402</v>
      </c>
      <c r="AA47" s="89">
        <f t="shared" ref="AA47" si="76">AA46/V46-1</f>
        <v>-1.8457142857142856</v>
      </c>
      <c r="AB47" s="89">
        <f>AB46/W46-1</f>
        <v>-3.0828402366863905</v>
      </c>
      <c r="AC47" s="89">
        <f t="shared" ref="AC47" si="77">AC46/X46-1</f>
        <v>-0.97826086956521741</v>
      </c>
      <c r="AD47" s="89">
        <f t="shared" ref="AD47" si="78">AD46/Y46-1</f>
        <v>-0.86036036036036034</v>
      </c>
      <c r="AE47" s="89">
        <f t="shared" ref="AE47" si="79">AE46/Z46-1</f>
        <v>-0.99319727891156462</v>
      </c>
      <c r="AF47" s="83"/>
      <c r="AG47" s="83"/>
      <c r="AH47" s="85"/>
      <c r="AI47" s="85"/>
      <c r="AJ47" s="85"/>
    </row>
    <row r="48" spans="2:36" x14ac:dyDescent="0.25">
      <c r="B48" s="283" t="s">
        <v>225</v>
      </c>
      <c r="C48" s="291"/>
      <c r="D48" s="290"/>
      <c r="E48" s="292"/>
      <c r="F48" s="292"/>
      <c r="G48" s="292"/>
      <c r="H48" s="292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>
        <f t="shared" ref="S48:AE48" si="80">S46/S$13</f>
        <v>-8.4321594444694949E-4</v>
      </c>
      <c r="T48" s="289">
        <f t="shared" si="80"/>
        <v>-9.859561369757598E-4</v>
      </c>
      <c r="U48" s="289">
        <f t="shared" si="80"/>
        <v>-6.3542116190327329E-4</v>
      </c>
      <c r="V48" s="289">
        <f t="shared" si="80"/>
        <v>-5.2473448435091843E-4</v>
      </c>
      <c r="W48" s="289">
        <f t="shared" si="80"/>
        <v>-5.2763693583435321E-4</v>
      </c>
      <c r="X48" s="289">
        <f t="shared" si="80"/>
        <v>-6.197059764579088E-4</v>
      </c>
      <c r="Y48" s="289">
        <f t="shared" si="80"/>
        <v>-6.9989596141114164E-4</v>
      </c>
      <c r="Z48" s="289">
        <f t="shared" si="80"/>
        <v>-1.2269016976313287E-3</v>
      </c>
      <c r="AA48" s="289">
        <f t="shared" si="80"/>
        <v>5.1089800680737072E-4</v>
      </c>
      <c r="AB48" s="289">
        <f t="shared" si="80"/>
        <v>1.1384364610150196E-3</v>
      </c>
      <c r="AC48" s="289">
        <f t="shared" si="80"/>
        <v>-1.3689558460403808E-5</v>
      </c>
      <c r="AD48" s="289">
        <f t="shared" si="80"/>
        <v>-9.7683329552043159E-5</v>
      </c>
      <c r="AE48" s="289">
        <f t="shared" si="80"/>
        <v>-5.0414025181805575E-6</v>
      </c>
      <c r="AF48" s="289">
        <f>AVERAGE(Y48:AB48)</f>
        <v>-6.9365797805020016E-5</v>
      </c>
      <c r="AG48" s="289">
        <f>AF48</f>
        <v>-6.9365797805020016E-5</v>
      </c>
      <c r="AH48" s="289">
        <f>AH46/AH$13</f>
        <v>-6.0689096073618883E-5</v>
      </c>
      <c r="AI48" s="289">
        <f>AH48</f>
        <v>-6.0689096073618883E-5</v>
      </c>
      <c r="AJ48" s="289">
        <f>AI48</f>
        <v>-6.0689096073618883E-5</v>
      </c>
    </row>
    <row r="49" spans="2:43" x14ac:dyDescent="0.25">
      <c r="B49" s="37" t="str">
        <f>'Raw Input'!A19</f>
        <v>Other operating income</v>
      </c>
      <c r="C49" s="113"/>
      <c r="D49" s="114"/>
      <c r="E49" s="115"/>
      <c r="F49" s="115"/>
      <c r="G49" s="115"/>
      <c r="H49" s="115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>
        <f>'Raw Input'!B19</f>
        <v>23285</v>
      </c>
      <c r="T49" s="82">
        <f>'Raw Input'!C19</f>
        <v>2765</v>
      </c>
      <c r="U49" s="82">
        <f>'Raw Input'!D19</f>
        <v>10955</v>
      </c>
      <c r="V49" s="82">
        <f>'Raw Input'!E19</f>
        <v>9263</v>
      </c>
      <c r="W49" s="82">
        <f>'Raw Input'!F19</f>
        <v>3715</v>
      </c>
      <c r="X49" s="82">
        <f>'Raw Input'!G19</f>
        <v>26698</v>
      </c>
      <c r="Y49" s="82">
        <f>'Raw Input'!H19</f>
        <v>95315</v>
      </c>
      <c r="Z49" s="82">
        <f>'Raw Input'!I19</f>
        <v>2268</v>
      </c>
      <c r="AA49" s="82">
        <f>'Raw Input'!J19</f>
        <v>23849</v>
      </c>
      <c r="AB49" s="82">
        <f>'Raw Input'!K19</f>
        <v>83639</v>
      </c>
      <c r="AC49" s="82">
        <f>'Raw Input'!L19</f>
        <v>203812</v>
      </c>
      <c r="AD49" s="82">
        <f>'Raw Input'!M19</f>
        <v>9497</v>
      </c>
      <c r="AE49" s="82">
        <f>'Raw Input'!N19</f>
        <v>16987</v>
      </c>
      <c r="AF49" s="82">
        <f>AF51*AF$13</f>
        <v>47174.295571561532</v>
      </c>
      <c r="AG49" s="82">
        <f>AG51*AG$13</f>
        <v>50543.888112387351</v>
      </c>
      <c r="AH49" s="85">
        <f>SUM(AD49:AG49)</f>
        <v>124202.18368394888</v>
      </c>
      <c r="AI49" s="85">
        <f>AI$13*AI51</f>
        <v>145590.81859747297</v>
      </c>
      <c r="AJ49" s="85">
        <f>AJ$13*AJ51</f>
        <v>167357.18045216598</v>
      </c>
    </row>
    <row r="50" spans="2:43" s="114" customFormat="1" x14ac:dyDescent="0.25">
      <c r="B50" s="87" t="s">
        <v>222</v>
      </c>
      <c r="C50" s="68"/>
      <c r="D50" s="37"/>
      <c r="E50" s="69"/>
      <c r="F50" s="69"/>
      <c r="G50" s="69"/>
      <c r="H50" s="69"/>
      <c r="I50" s="82"/>
      <c r="J50" s="99"/>
      <c r="K50" s="99"/>
      <c r="L50" s="99"/>
      <c r="M50" s="9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>
        <f>X49/S49-1</f>
        <v>0.14657504831436552</v>
      </c>
      <c r="Y50" s="89">
        <f t="shared" ref="Y50" si="81">Y49/T49-1</f>
        <v>33.471971066907777</v>
      </c>
      <c r="Z50" s="89">
        <f t="shared" ref="Z50" si="82">Z49/U49-1</f>
        <v>-0.7929712460063898</v>
      </c>
      <c r="AA50" s="89">
        <f t="shared" ref="AA50" si="83">AA49/V49-1</f>
        <v>1.574651840656375</v>
      </c>
      <c r="AB50" s="89">
        <f>AB49/W49-1</f>
        <v>21.513862718707941</v>
      </c>
      <c r="AC50" s="89">
        <f t="shared" ref="AC50" si="84">AC49/X49-1</f>
        <v>6.6339800734137393</v>
      </c>
      <c r="AD50" s="89">
        <f t="shared" ref="AD50" si="85">AD49/Y49-1</f>
        <v>-0.90036195771914174</v>
      </c>
      <c r="AE50" s="89">
        <f t="shared" ref="AE50" si="86">AE49/Z49-1</f>
        <v>6.4898589065255736</v>
      </c>
      <c r="AF50" s="83"/>
      <c r="AG50" s="83"/>
      <c r="AH50" s="85"/>
      <c r="AI50" s="85"/>
      <c r="AJ50" s="85"/>
    </row>
    <row r="51" spans="2:43" x14ac:dyDescent="0.25">
      <c r="B51" s="283" t="s">
        <v>225</v>
      </c>
      <c r="C51" s="284"/>
      <c r="D51" s="282"/>
      <c r="E51" s="285"/>
      <c r="F51" s="285"/>
      <c r="G51" s="285"/>
      <c r="H51" s="285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>
        <f t="shared" ref="S51:AE51" si="87">S49/S$13</f>
        <v>3.499872240008417E-2</v>
      </c>
      <c r="T51" s="289">
        <f t="shared" si="87"/>
        <v>1.3298383993843785E-2</v>
      </c>
      <c r="U51" s="289">
        <f t="shared" si="87"/>
        <v>3.7224806570322774E-2</v>
      </c>
      <c r="V51" s="289">
        <f t="shared" si="87"/>
        <v>2.7774945877386041E-2</v>
      </c>
      <c r="W51" s="289">
        <f t="shared" si="87"/>
        <v>1.15986462522167E-2</v>
      </c>
      <c r="X51" s="289">
        <f t="shared" si="87"/>
        <v>2.2479497499284306E-2</v>
      </c>
      <c r="Y51" s="289">
        <f t="shared" si="87"/>
        <v>0.30049812415271604</v>
      </c>
      <c r="Z51" s="289">
        <f t="shared" si="87"/>
        <v>9.4646702388702496E-3</v>
      </c>
      <c r="AA51" s="289">
        <f t="shared" si="87"/>
        <v>8.2327071380736389E-2</v>
      </c>
      <c r="AB51" s="289">
        <f t="shared" si="87"/>
        <v>0.27050479307623643</v>
      </c>
      <c r="AC51" s="289">
        <f t="shared" si="87"/>
        <v>0.1743810180582388</v>
      </c>
      <c r="AD51" s="289">
        <f t="shared" si="87"/>
        <v>2.9925760669540447E-2</v>
      </c>
      <c r="AE51" s="289">
        <f t="shared" si="87"/>
        <v>4.2819152288166566E-2</v>
      </c>
      <c r="AF51" s="289">
        <f>AVERAGE(Z51:AB51)</f>
        <v>0.12076551156528102</v>
      </c>
      <c r="AG51" s="289">
        <f>AF51</f>
        <v>0.12076551156528102</v>
      </c>
      <c r="AH51" s="289">
        <f>AH49/AH$13</f>
        <v>8.4572043235415659E-2</v>
      </c>
      <c r="AI51" s="289">
        <f>AH51</f>
        <v>8.4572043235415659E-2</v>
      </c>
      <c r="AJ51" s="289">
        <f>AI51</f>
        <v>8.4572043235415659E-2</v>
      </c>
    </row>
    <row r="52" spans="2:43" s="114" customFormat="1" x14ac:dyDescent="0.25">
      <c r="B52" s="37" t="str">
        <f>'Raw Input'!A20</f>
        <v>Other operating expenses</v>
      </c>
      <c r="C52" s="68"/>
      <c r="D52" s="37"/>
      <c r="E52" s="69"/>
      <c r="F52" s="69"/>
      <c r="G52" s="69"/>
      <c r="H52" s="69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>
        <f>'Raw Input'!B20</f>
        <v>-4214</v>
      </c>
      <c r="T52" s="82">
        <f>'Raw Input'!C20</f>
        <v>-1260</v>
      </c>
      <c r="U52" s="82">
        <f>'Raw Input'!D20</f>
        <v>-782</v>
      </c>
      <c r="V52" s="82">
        <f>'Raw Input'!E20</f>
        <v>-564</v>
      </c>
      <c r="W52" s="82">
        <f>'Raw Input'!F20</f>
        <v>-715</v>
      </c>
      <c r="X52" s="82">
        <f>'Raw Input'!G20</f>
        <v>-3321</v>
      </c>
      <c r="Y52" s="82">
        <f>'Raw Input'!H20</f>
        <v>-963</v>
      </c>
      <c r="Z52" s="82">
        <f>'Raw Input'!I20</f>
        <v>-4</v>
      </c>
      <c r="AA52" s="82">
        <f>'Raw Input'!J20</f>
        <v>153</v>
      </c>
      <c r="AB52" s="82">
        <f>'Raw Input'!K20</f>
        <v>-143</v>
      </c>
      <c r="AC52" s="82">
        <f>'Raw Input'!L20</f>
        <v>302</v>
      </c>
      <c r="AD52" s="82">
        <f>'Raw Input'!M20</f>
        <v>-115</v>
      </c>
      <c r="AE52" s="82">
        <f>'Raw Input'!N20</f>
        <v>-908</v>
      </c>
      <c r="AF52" s="82">
        <f>AF54*AF$13</f>
        <v>-291.70668039201638</v>
      </c>
      <c r="AG52" s="82">
        <f>AG54*AG$13</f>
        <v>-312.54287184858896</v>
      </c>
      <c r="AH52" s="85">
        <f>SUM(AD52:AG52)</f>
        <v>-1627.2495522406052</v>
      </c>
      <c r="AI52" s="85">
        <f>AI$13*AI54</f>
        <v>-1907.4752741541226</v>
      </c>
      <c r="AJ52" s="85">
        <f>AJ$13*AJ54</f>
        <v>-2192.6498301191441</v>
      </c>
    </row>
    <row r="53" spans="2:43" s="60" customFormat="1" x14ac:dyDescent="0.25">
      <c r="B53" s="87" t="s">
        <v>222</v>
      </c>
      <c r="C53" s="68"/>
      <c r="D53" s="37"/>
      <c r="E53" s="69"/>
      <c r="F53" s="69"/>
      <c r="G53" s="69"/>
      <c r="H53" s="69"/>
      <c r="I53" s="82"/>
      <c r="J53" s="99"/>
      <c r="K53" s="99"/>
      <c r="L53" s="99"/>
      <c r="M53" s="9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>
        <f>X52/S52-1</f>
        <v>-0.21191267204556241</v>
      </c>
      <c r="Y53" s="89">
        <f t="shared" ref="Y53" si="88">Y52/T52-1</f>
        <v>-0.23571428571428577</v>
      </c>
      <c r="Z53" s="89">
        <f t="shared" ref="Z53" si="89">Z52/U52-1</f>
        <v>-0.99488491048593353</v>
      </c>
      <c r="AA53" s="89">
        <f t="shared" ref="AA53" si="90">AA52/V52-1</f>
        <v>-1.2712765957446808</v>
      </c>
      <c r="AB53" s="89">
        <f>AB52/W52-1</f>
        <v>-0.8</v>
      </c>
      <c r="AC53" s="89">
        <f t="shared" ref="AC53" si="91">AC52/X52-1</f>
        <v>-1.0909364649202047</v>
      </c>
      <c r="AD53" s="89">
        <f t="shared" ref="AD53" si="92">AD52/Y52-1</f>
        <v>-0.88058151609553481</v>
      </c>
      <c r="AE53" s="89">
        <f t="shared" ref="AE53" si="93">AE52/Z52-1</f>
        <v>226</v>
      </c>
      <c r="AF53" s="83"/>
      <c r="AG53" s="83"/>
      <c r="AH53" s="90"/>
      <c r="AI53" s="90"/>
      <c r="AJ53" s="90"/>
    </row>
    <row r="54" spans="2:43" s="60" customFormat="1" x14ac:dyDescent="0.25">
      <c r="B54" s="283" t="s">
        <v>225</v>
      </c>
      <c r="C54" s="284"/>
      <c r="D54" s="282"/>
      <c r="E54" s="285"/>
      <c r="F54" s="285"/>
      <c r="G54" s="285"/>
      <c r="H54" s="285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>
        <f t="shared" ref="S54:AE54" si="94">S52/S$13</f>
        <v>-6.3338894650613996E-3</v>
      </c>
      <c r="T54" s="289">
        <f t="shared" si="94"/>
        <v>-6.060023085802232E-3</v>
      </c>
      <c r="U54" s="289">
        <f t="shared" si="94"/>
        <v>-2.6572157679591426E-3</v>
      </c>
      <c r="V54" s="289">
        <f t="shared" si="94"/>
        <v>-1.6911442809938171E-3</v>
      </c>
      <c r="W54" s="289">
        <f t="shared" si="94"/>
        <v>-2.2323101131453407E-3</v>
      </c>
      <c r="X54" s="289">
        <f t="shared" si="94"/>
        <v>-2.7962548204031458E-3</v>
      </c>
      <c r="Y54" s="289">
        <f t="shared" si="94"/>
        <v>-3.0360351839591412E-3</v>
      </c>
      <c r="Z54" s="289">
        <f t="shared" si="94"/>
        <v>-1.66925401038276E-5</v>
      </c>
      <c r="AA54" s="289">
        <f t="shared" si="94"/>
        <v>5.2815807460491701E-4</v>
      </c>
      <c r="AB54" s="289">
        <f t="shared" si="94"/>
        <v>-4.624898122873517E-4</v>
      </c>
      <c r="AC54" s="289">
        <f t="shared" si="94"/>
        <v>2.5839041594012186E-4</v>
      </c>
      <c r="AD54" s="289">
        <f t="shared" si="94"/>
        <v>-3.6237364188661172E-4</v>
      </c>
      <c r="AE54" s="289">
        <f t="shared" si="94"/>
        <v>-2.2887967432539732E-3</v>
      </c>
      <c r="AF54" s="289">
        <f>AVERAGE(Y54:AB54)</f>
        <v>-7.4676486543635086E-4</v>
      </c>
      <c r="AG54" s="289">
        <f>AF54</f>
        <v>-7.4676486543635086E-4</v>
      </c>
      <c r="AH54" s="289">
        <f>AH52/AH$13</f>
        <v>-1.1080305949941875E-3</v>
      </c>
      <c r="AI54" s="289">
        <f>AH54</f>
        <v>-1.1080305949941875E-3</v>
      </c>
      <c r="AJ54" s="289">
        <f>AI54</f>
        <v>-1.1080305949941875E-3</v>
      </c>
    </row>
    <row r="55" spans="2:43" s="60" customFormat="1" x14ac:dyDescent="0.25">
      <c r="B55" s="37" t="str">
        <f>'Raw Input'!A21</f>
        <v>(Impairment) reversal of long- lived assets</v>
      </c>
      <c r="C55" s="68"/>
      <c r="D55" s="37"/>
      <c r="E55" s="69"/>
      <c r="F55" s="69"/>
      <c r="G55" s="69"/>
      <c r="H55" s="69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>
        <f>'Raw Input'!B21</f>
        <v>14044</v>
      </c>
      <c r="T55" s="82">
        <f>'Raw Input'!C21</f>
        <v>0</v>
      </c>
      <c r="U55" s="82">
        <f>'Raw Input'!D21</f>
        <v>0</v>
      </c>
      <c r="V55" s="82">
        <f>'Raw Input'!E21</f>
        <v>0</v>
      </c>
      <c r="W55" s="82" t="str">
        <f>'Raw Input'!F21</f>
        <v>— </v>
      </c>
      <c r="X55" s="82" t="str">
        <f>'Raw Input'!G21</f>
        <v>— </v>
      </c>
      <c r="Y55" s="82">
        <f>'Raw Input'!H21</f>
        <v>0</v>
      </c>
      <c r="Z55" s="82">
        <f>'Raw Input'!I21</f>
        <v>0</v>
      </c>
      <c r="AA55" s="82">
        <f>'Raw Input'!J21</f>
        <v>0</v>
      </c>
      <c r="AB55" s="82">
        <f>'Raw Input'!K21</f>
        <v>-24585</v>
      </c>
      <c r="AC55" s="82">
        <f>'Raw Input'!L21</f>
        <v>-24585</v>
      </c>
      <c r="AD55" s="82">
        <f>'Raw Input'!M21</f>
        <v>0</v>
      </c>
      <c r="AE55" s="82">
        <f>'Raw Input'!N21</f>
        <v>0</v>
      </c>
      <c r="AF55" s="82"/>
      <c r="AG55" s="82"/>
      <c r="AH55" s="112">
        <v>0</v>
      </c>
      <c r="AI55" s="85"/>
      <c r="AJ55" s="85"/>
    </row>
    <row r="56" spans="2:43" s="60" customFormat="1" x14ac:dyDescent="0.25">
      <c r="B56" s="87" t="s">
        <v>222</v>
      </c>
      <c r="C56" s="68"/>
      <c r="D56" s="37"/>
      <c r="E56" s="69"/>
      <c r="F56" s="69"/>
      <c r="G56" s="69"/>
      <c r="H56" s="69"/>
      <c r="I56" s="82"/>
      <c r="J56" s="99"/>
      <c r="K56" s="99"/>
      <c r="L56" s="99"/>
      <c r="M56" s="9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 t="e">
        <f>X55/S55-1</f>
        <v>#VALUE!</v>
      </c>
      <c r="Y56" s="89" t="e">
        <f t="shared" ref="Y56" si="95">Y55/T55-1</f>
        <v>#DIV/0!</v>
      </c>
      <c r="Z56" s="89" t="e">
        <f t="shared" ref="Z56" si="96">Z55/U55-1</f>
        <v>#DIV/0!</v>
      </c>
      <c r="AA56" s="89" t="e">
        <f t="shared" ref="AA56" si="97">AA55/V55-1</f>
        <v>#DIV/0!</v>
      </c>
      <c r="AB56" s="89" t="e">
        <f>AB55/W55-1</f>
        <v>#VALUE!</v>
      </c>
      <c r="AC56" s="89" t="e">
        <f t="shared" ref="AC56" si="98">AC55/X55-1</f>
        <v>#VALUE!</v>
      </c>
      <c r="AD56" s="89" t="e">
        <f t="shared" ref="AD56" si="99">AD55/Y55-1</f>
        <v>#DIV/0!</v>
      </c>
      <c r="AE56" s="89" t="e">
        <f t="shared" ref="AE56" si="100">AE55/Z55-1</f>
        <v>#DIV/0!</v>
      </c>
      <c r="AF56" s="83"/>
      <c r="AG56" s="83"/>
      <c r="AH56" s="85"/>
      <c r="AI56" s="85"/>
      <c r="AJ56" s="85"/>
    </row>
    <row r="57" spans="2:43" s="60" customFormat="1" x14ac:dyDescent="0.25">
      <c r="B57" s="283" t="s">
        <v>225</v>
      </c>
      <c r="C57" s="284"/>
      <c r="D57" s="282"/>
      <c r="E57" s="285"/>
      <c r="F57" s="285"/>
      <c r="G57" s="285"/>
      <c r="H57" s="285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>
        <f t="shared" ref="S57:AE57" si="101">S55/S$13</f>
        <v>2.1108956726939323E-2</v>
      </c>
      <c r="T57" s="289">
        <f t="shared" si="101"/>
        <v>0</v>
      </c>
      <c r="U57" s="289">
        <f t="shared" si="101"/>
        <v>0</v>
      </c>
      <c r="V57" s="289">
        <f t="shared" si="101"/>
        <v>0</v>
      </c>
      <c r="W57" s="289" t="e">
        <f t="shared" si="101"/>
        <v>#VALUE!</v>
      </c>
      <c r="X57" s="289" t="e">
        <f t="shared" si="101"/>
        <v>#VALUE!</v>
      </c>
      <c r="Y57" s="289">
        <f t="shared" si="101"/>
        <v>0</v>
      </c>
      <c r="Z57" s="289">
        <f t="shared" si="101"/>
        <v>0</v>
      </c>
      <c r="AA57" s="289">
        <f t="shared" si="101"/>
        <v>0</v>
      </c>
      <c r="AB57" s="289">
        <f t="shared" si="101"/>
        <v>-7.9512671574017771E-2</v>
      </c>
      <c r="AC57" s="289">
        <f t="shared" si="101"/>
        <v>-2.1034862171814227E-2</v>
      </c>
      <c r="AD57" s="289">
        <f t="shared" si="101"/>
        <v>0</v>
      </c>
      <c r="AE57" s="289">
        <f t="shared" si="101"/>
        <v>0</v>
      </c>
      <c r="AF57" s="289"/>
      <c r="AG57" s="289"/>
      <c r="AH57" s="286"/>
      <c r="AI57" s="286"/>
      <c r="AJ57" s="286"/>
    </row>
    <row r="58" spans="2:43" s="60" customFormat="1" x14ac:dyDescent="0.25">
      <c r="B58" s="92" t="str">
        <f>'Raw Input'!A23</f>
        <v>Operating profit</v>
      </c>
      <c r="C58" s="93"/>
      <c r="D58" s="92"/>
      <c r="E58" s="94"/>
      <c r="F58" s="94"/>
      <c r="G58" s="94"/>
      <c r="H58" s="94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>
        <f>'Raw Input'!B23</f>
        <v>210553</v>
      </c>
      <c r="T58" s="95">
        <f>'Raw Input'!C23</f>
        <v>80008</v>
      </c>
      <c r="U58" s="95">
        <f>'Raw Input'!D23</f>
        <v>143851</v>
      </c>
      <c r="V58" s="95">
        <f>'Raw Input'!E23</f>
        <v>166763</v>
      </c>
      <c r="W58" s="95">
        <f>'Raw Input'!F23</f>
        <v>138525</v>
      </c>
      <c r="X58" s="95">
        <f>'Raw Input'!G23</f>
        <v>529147</v>
      </c>
      <c r="Y58" s="95">
        <f>'Raw Input'!H23</f>
        <v>226149</v>
      </c>
      <c r="Z58" s="95">
        <f>'Raw Input'!I23</f>
        <v>83168</v>
      </c>
      <c r="AA58" s="95">
        <f>'Raw Input'!J23</f>
        <v>145649</v>
      </c>
      <c r="AB58" s="95">
        <f>'Raw Input'!K23</f>
        <v>176521</v>
      </c>
      <c r="AC58" s="95">
        <f>'Raw Input'!L23</f>
        <v>631487</v>
      </c>
      <c r="AD58" s="95">
        <f>'Raw Input'!M23</f>
        <v>129085</v>
      </c>
      <c r="AE58" s="95">
        <f>'Raw Input'!N23</f>
        <v>179591</v>
      </c>
      <c r="AF58" s="325">
        <f>AF35+AF40+AF43+AF46+AF49+AF52</f>
        <v>198583.7594957363</v>
      </c>
      <c r="AG58" s="325">
        <f>AG35+AG40+AG43+AG46+AG49+AG52</f>
        <v>212768.31374543172</v>
      </c>
      <c r="AH58" s="97">
        <f>AH35+AH40+AH43+AH46+AH49+AH52</f>
        <v>665400.85842925659</v>
      </c>
      <c r="AI58" s="97">
        <f t="shared" ref="AI58:AJ58" si="102">AI35+AI40+AI43+AI46+AI49+AI52</f>
        <v>788487.14626599918</v>
      </c>
      <c r="AJ58" s="97">
        <f t="shared" si="102"/>
        <v>916263.22521212441</v>
      </c>
    </row>
    <row r="59" spans="2:43" s="60" customFormat="1" x14ac:dyDescent="0.25">
      <c r="B59" s="87" t="s">
        <v>222</v>
      </c>
      <c r="C59" s="68"/>
      <c r="D59" s="37"/>
      <c r="E59" s="69"/>
      <c r="F59" s="69"/>
      <c r="G59" s="69"/>
      <c r="H59" s="69"/>
      <c r="I59" s="82"/>
      <c r="J59" s="99"/>
      <c r="K59" s="99"/>
      <c r="L59" s="99"/>
      <c r="M59" s="9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>
        <f>X58/S58-1</f>
        <v>1.5131297108091548</v>
      </c>
      <c r="Y59" s="89">
        <f t="shared" ref="Y59" si="103">Y58/T58-1</f>
        <v>1.8265798420157986</v>
      </c>
      <c r="Z59" s="89">
        <f t="shared" ref="Z59" si="104">Z58/U58-1</f>
        <v>-0.42184621587614968</v>
      </c>
      <c r="AA59" s="89">
        <f t="shared" ref="AA59" si="105">AA58/V58-1</f>
        <v>-0.12661081894664883</v>
      </c>
      <c r="AB59" s="89">
        <f>AB58/W58-1</f>
        <v>0.27428983937917351</v>
      </c>
      <c r="AC59" s="89">
        <f>AC58/X58-1</f>
        <v>0.19340561318499394</v>
      </c>
      <c r="AD59" s="89">
        <f t="shared" ref="AD59" si="106">AD58/Y58-1</f>
        <v>-0.4292037550464517</v>
      </c>
      <c r="AE59" s="89">
        <f>AE58/Z58-1</f>
        <v>1.1593762023855327</v>
      </c>
      <c r="AF59" s="89"/>
      <c r="AG59" s="89"/>
      <c r="AH59" s="89">
        <f>AH58/AC58-1</f>
        <v>5.3704761031116321E-2</v>
      </c>
      <c r="AI59" s="89">
        <f>AI58/AH58-1</f>
        <v>0.18498065681384857</v>
      </c>
      <c r="AJ59" s="89">
        <f>AJ58/AI58-1</f>
        <v>0.16205220281805266</v>
      </c>
    </row>
    <row r="60" spans="2:43" s="60" customFormat="1" x14ac:dyDescent="0.25">
      <c r="B60" s="117" t="s">
        <v>227</v>
      </c>
      <c r="C60" s="114"/>
      <c r="D60" s="114"/>
      <c r="E60" s="114"/>
      <c r="F60" s="114"/>
      <c r="G60" s="114"/>
      <c r="H60" s="114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280">
        <f t="shared" ref="S60:AH60" si="107">S58/S$13</f>
        <v>0.31647352362056785</v>
      </c>
      <c r="T60" s="280">
        <f t="shared" si="107"/>
        <v>0.38480184686417851</v>
      </c>
      <c r="U60" s="280">
        <f t="shared" si="107"/>
        <v>0.48880197626175276</v>
      </c>
      <c r="V60" s="280">
        <f t="shared" si="107"/>
        <v>0.50003598179321262</v>
      </c>
      <c r="W60" s="280">
        <f t="shared" si="107"/>
        <v>0.43249057122161999</v>
      </c>
      <c r="X60" s="280">
        <f t="shared" si="107"/>
        <v>0.44553744337605039</v>
      </c>
      <c r="Y60" s="280">
        <f t="shared" si="107"/>
        <v>0.71297644944670391</v>
      </c>
      <c r="Z60" s="280">
        <f t="shared" si="107"/>
        <v>0.34707129383878343</v>
      </c>
      <c r="AA60" s="280">
        <f t="shared" si="107"/>
        <v>0.50278232292896452</v>
      </c>
      <c r="AB60" s="280">
        <f t="shared" si="107"/>
        <v>0.57090324583759167</v>
      </c>
      <c r="AC60" s="280">
        <f t="shared" si="107"/>
        <v>0.54029863771781372</v>
      </c>
      <c r="AD60" s="280">
        <f t="shared" si="107"/>
        <v>0.40675653532985456</v>
      </c>
      <c r="AE60" s="280">
        <f t="shared" si="107"/>
        <v>0.45269525982128228</v>
      </c>
      <c r="AF60" s="280">
        <f t="shared" si="107"/>
        <v>0.5083715403376714</v>
      </c>
      <c r="AG60" s="280">
        <f t="shared" si="107"/>
        <v>0.5083715403376714</v>
      </c>
      <c r="AH60" s="280">
        <f t="shared" si="107"/>
        <v>0.45308631860418991</v>
      </c>
      <c r="AI60" s="280">
        <f t="shared" ref="AI60:AJ60" si="108">AI58/AI$13</f>
        <v>0.45802317527277797</v>
      </c>
      <c r="AJ60" s="280">
        <f t="shared" si="108"/>
        <v>0.46302317527277798</v>
      </c>
      <c r="AQ60" s="60" t="s">
        <v>343</v>
      </c>
    </row>
    <row r="61" spans="2:43" x14ac:dyDescent="0.25">
      <c r="B61" s="101" t="s">
        <v>223</v>
      </c>
      <c r="C61" s="68"/>
      <c r="E61" s="69"/>
      <c r="F61" s="69"/>
      <c r="G61" s="69"/>
      <c r="H61" s="69"/>
      <c r="I61" s="100"/>
      <c r="J61" s="100"/>
      <c r="K61" s="100"/>
      <c r="L61" s="100"/>
      <c r="M61" s="100"/>
      <c r="N61" s="102"/>
      <c r="O61" s="102"/>
      <c r="P61" s="102"/>
      <c r="Q61" s="102"/>
      <c r="R61" s="102"/>
      <c r="S61" s="399">
        <v>198100</v>
      </c>
      <c r="T61" s="400"/>
      <c r="U61" s="400"/>
      <c r="V61" s="400"/>
      <c r="W61" s="400"/>
      <c r="X61" s="399">
        <v>541800</v>
      </c>
      <c r="Y61" s="103"/>
      <c r="Z61" s="103"/>
      <c r="AA61" s="103"/>
      <c r="AB61" s="103"/>
      <c r="AC61" s="399">
        <v>601300</v>
      </c>
      <c r="AD61" s="103"/>
      <c r="AE61" s="103"/>
      <c r="AF61" s="103"/>
      <c r="AG61" s="103"/>
      <c r="AH61" s="399">
        <v>835900</v>
      </c>
      <c r="AI61" s="399">
        <v>1121100</v>
      </c>
      <c r="AJ61" s="399">
        <v>1293400</v>
      </c>
    </row>
    <row r="62" spans="2:43" x14ac:dyDescent="0.25">
      <c r="B62" s="117"/>
      <c r="C62" s="114"/>
      <c r="D62" s="114"/>
      <c r="E62" s="114"/>
      <c r="F62" s="114"/>
      <c r="G62" s="114"/>
      <c r="H62" s="114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18"/>
      <c r="AF62" s="118"/>
      <c r="AG62" s="118"/>
      <c r="AH62" s="108"/>
      <c r="AI62" s="109"/>
      <c r="AJ62" s="109"/>
    </row>
    <row r="63" spans="2:43" s="60" customFormat="1" x14ac:dyDescent="0.25">
      <c r="B63" s="37" t="s">
        <v>79</v>
      </c>
      <c r="C63" s="73"/>
      <c r="E63" s="74"/>
      <c r="F63" s="74"/>
      <c r="G63" s="74"/>
      <c r="H63" s="74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>
        <f>'Raw Input'!B25</f>
        <v>65</v>
      </c>
      <c r="T63" s="82">
        <f>'Raw Input'!C25</f>
        <v>16</v>
      </c>
      <c r="U63" s="82">
        <f>'Raw Input'!D25</f>
        <v>74</v>
      </c>
      <c r="V63" s="82">
        <f>'Raw Input'!E25</f>
        <v>294</v>
      </c>
      <c r="W63" s="82">
        <f>'Raw Input'!F25</f>
        <v>425</v>
      </c>
      <c r="X63" s="82">
        <f>'Raw Input'!G25</f>
        <v>809</v>
      </c>
      <c r="Y63" s="82">
        <f>'Raw Input'!H25</f>
        <v>287</v>
      </c>
      <c r="Z63" s="82">
        <f>'Raw Input'!I25</f>
        <v>216</v>
      </c>
      <c r="AA63" s="82">
        <f>'Raw Input'!J25</f>
        <v>299</v>
      </c>
      <c r="AB63" s="82">
        <f>'Raw Input'!K25</f>
        <v>433</v>
      </c>
      <c r="AC63" s="82">
        <f>'Raw Input'!L25</f>
        <v>1235</v>
      </c>
      <c r="AD63" s="82">
        <f>'Raw Input'!M25</f>
        <v>481</v>
      </c>
      <c r="AE63" s="82">
        <f>'Raw Input'!N25</f>
        <v>1319</v>
      </c>
      <c r="AF63" s="82">
        <f>AF65*AF$58</f>
        <v>415.63948520121613</v>
      </c>
      <c r="AG63" s="82">
        <f>AG65*AG$58</f>
        <v>445.32801985844577</v>
      </c>
      <c r="AH63" s="85">
        <f>SUM(AD63:AG63)</f>
        <v>2660.967505059662</v>
      </c>
      <c r="AI63" s="85">
        <f>AI65*AI$58</f>
        <v>3153.1950219059067</v>
      </c>
      <c r="AJ63" s="85">
        <f>AJ65*AJ$58</f>
        <v>3664.1772211206767</v>
      </c>
    </row>
    <row r="64" spans="2:43" x14ac:dyDescent="0.25">
      <c r="B64" s="87" t="s">
        <v>222</v>
      </c>
      <c r="C64" s="113"/>
      <c r="D64" s="114"/>
      <c r="E64" s="115"/>
      <c r="F64" s="115"/>
      <c r="G64" s="115"/>
      <c r="H64" s="115"/>
      <c r="I64" s="82"/>
      <c r="J64" s="99"/>
      <c r="K64" s="99"/>
      <c r="L64" s="99"/>
      <c r="M64" s="9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>
        <f>X63/S63-1</f>
        <v>11.446153846153846</v>
      </c>
      <c r="Y64" s="89">
        <f>Y63/T63-1</f>
        <v>16.9375</v>
      </c>
      <c r="Z64" s="89">
        <f>Z63/U63-1</f>
        <v>1.9189189189189189</v>
      </c>
      <c r="AA64" s="89">
        <f t="shared" ref="AA64" si="109">AA63/V63-1</f>
        <v>1.7006802721088343E-2</v>
      </c>
      <c r="AB64" s="89">
        <f>AB63/W63-1</f>
        <v>1.8823529411764683E-2</v>
      </c>
      <c r="AC64" s="89">
        <f>AC63/X63-1</f>
        <v>0.52657601977750312</v>
      </c>
      <c r="AD64" s="89">
        <f t="shared" ref="AD64" si="110">AD63/Y63-1</f>
        <v>0.6759581881533101</v>
      </c>
      <c r="AE64" s="89">
        <f>AE63/Z63-1</f>
        <v>5.1064814814814818</v>
      </c>
      <c r="AF64" s="83"/>
      <c r="AG64" s="83"/>
      <c r="AH64" s="89">
        <f>AH63/AC63-1</f>
        <v>1.1546295587527626</v>
      </c>
      <c r="AI64" s="116"/>
      <c r="AJ64" s="116"/>
    </row>
    <row r="65" spans="1:36" x14ac:dyDescent="0.25">
      <c r="B65" s="87" t="s">
        <v>228</v>
      </c>
      <c r="C65" s="113"/>
      <c r="D65" s="114"/>
      <c r="E65" s="115"/>
      <c r="F65" s="115"/>
      <c r="G65" s="115"/>
      <c r="H65" s="115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303">
        <f>S63/S$58</f>
        <v>3.0871087089711377E-4</v>
      </c>
      <c r="T65" s="303">
        <f t="shared" ref="T65:AE65" si="111">T63/T$58</f>
        <v>1.9998000199980003E-4</v>
      </c>
      <c r="U65" s="303">
        <f t="shared" si="111"/>
        <v>5.1442117190704268E-4</v>
      </c>
      <c r="V65" s="303">
        <f t="shared" si="111"/>
        <v>1.7629809969837433E-3</v>
      </c>
      <c r="W65" s="303">
        <f t="shared" si="111"/>
        <v>3.0680382602418337E-3</v>
      </c>
      <c r="X65" s="303">
        <f>X63/X$58</f>
        <v>1.5288757188456137E-3</v>
      </c>
      <c r="Y65" s="303">
        <f t="shared" si="111"/>
        <v>1.2690748135079084E-3</v>
      </c>
      <c r="Z65" s="303">
        <f t="shared" si="111"/>
        <v>2.5971527510580991E-3</v>
      </c>
      <c r="AA65" s="303">
        <f>AA63/AA$58</f>
        <v>2.0528805553076232E-3</v>
      </c>
      <c r="AB65" s="303">
        <f t="shared" si="111"/>
        <v>2.4529659360642644E-3</v>
      </c>
      <c r="AC65" s="303">
        <f>AC63/AC$58</f>
        <v>1.9557013841931823E-3</v>
      </c>
      <c r="AD65" s="303">
        <f t="shared" si="111"/>
        <v>3.7262269047526825E-3</v>
      </c>
      <c r="AE65" s="303">
        <f t="shared" si="111"/>
        <v>7.3444660367167616E-3</v>
      </c>
      <c r="AF65" s="289">
        <f>AVERAGE(Y65:AB65)</f>
        <v>2.0930185139844738E-3</v>
      </c>
      <c r="AG65" s="289">
        <f>AF65</f>
        <v>2.0930185139844738E-3</v>
      </c>
      <c r="AH65" s="303">
        <f>AH63/AH$58</f>
        <v>3.9990442924001252E-3</v>
      </c>
      <c r="AI65" s="116">
        <f>AH65</f>
        <v>3.9990442924001252E-3</v>
      </c>
      <c r="AJ65" s="116">
        <f>AI65</f>
        <v>3.9990442924001252E-3</v>
      </c>
    </row>
    <row r="66" spans="1:36" x14ac:dyDescent="0.25">
      <c r="B66" s="37" t="s">
        <v>78</v>
      </c>
      <c r="C66" s="60"/>
      <c r="D66" s="60"/>
      <c r="E66" s="60"/>
      <c r="F66" s="60"/>
      <c r="G66" s="60"/>
      <c r="H66" s="60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>
        <f>'Raw Input'!B26</f>
        <v>-50660</v>
      </c>
      <c r="T66" s="82">
        <f>'Raw Input'!C26</f>
        <v>-8232</v>
      </c>
      <c r="U66" s="82">
        <f>'Raw Input'!D26</f>
        <v>-7365</v>
      </c>
      <c r="V66" s="82">
        <f>'Raw Input'!E26</f>
        <v>-6744</v>
      </c>
      <c r="W66" s="82">
        <f>'Raw Input'!F26</f>
        <v>-6545</v>
      </c>
      <c r="X66" s="82">
        <f>'Raw Input'!G26</f>
        <v>-28886</v>
      </c>
      <c r="Y66" s="82">
        <f>'Raw Input'!H26</f>
        <v>-6137</v>
      </c>
      <c r="Z66" s="82">
        <f>'Raw Input'!I26</f>
        <v>-5226</v>
      </c>
      <c r="AA66" s="82">
        <f>'Raw Input'!J26</f>
        <v>-4842</v>
      </c>
      <c r="AB66" s="82">
        <f>'Raw Input'!K26</f>
        <v>-5674</v>
      </c>
      <c r="AC66" s="82">
        <f>'Raw Input'!L26</f>
        <v>-21879</v>
      </c>
      <c r="AD66" s="82">
        <f>'Raw Input'!M26</f>
        <v>-4897</v>
      </c>
      <c r="AE66" s="82">
        <f>'Raw Input'!N26</f>
        <v>-11219</v>
      </c>
      <c r="AF66" s="82">
        <f>AF68*AF$58</f>
        <v>-7713.0644545833757</v>
      </c>
      <c r="AG66" s="82">
        <f>AG68*AG$58</f>
        <v>-8263.9976299107584</v>
      </c>
      <c r="AH66" s="85">
        <f>SUM(AD66:AG66)</f>
        <v>-32093.062084494133</v>
      </c>
      <c r="AI66" s="85">
        <f>AI68*AI$58</f>
        <v>-38029.657788051481</v>
      </c>
      <c r="AJ66" s="85">
        <f>AJ68*AJ$58</f>
        <v>-44192.447605021931</v>
      </c>
    </row>
    <row r="67" spans="1:36" x14ac:dyDescent="0.25">
      <c r="B67" s="87" t="s">
        <v>222</v>
      </c>
      <c r="C67" s="73"/>
      <c r="D67" s="60"/>
      <c r="E67" s="74"/>
      <c r="F67" s="74"/>
      <c r="G67" s="74"/>
      <c r="H67" s="74"/>
      <c r="I67" s="82"/>
      <c r="J67" s="99"/>
      <c r="K67" s="99"/>
      <c r="L67" s="99"/>
      <c r="M67" s="9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>
        <f>X66/S66-1</f>
        <v>-0.42980655349388075</v>
      </c>
      <c r="Y67" s="89">
        <f t="shared" ref="Y67" si="112">Y66/T66-1</f>
        <v>-0.25449465500485913</v>
      </c>
      <c r="Z67" s="89">
        <f>Z66/U66-1</f>
        <v>-0.29042769857433803</v>
      </c>
      <c r="AA67" s="89">
        <f t="shared" ref="AA67" si="113">AA66/V66-1</f>
        <v>-0.28202846975088969</v>
      </c>
      <c r="AB67" s="89">
        <f>AB66/W66-1</f>
        <v>-0.1330786860198625</v>
      </c>
      <c r="AC67" s="89">
        <f t="shared" ref="AC67" si="114">AC66/X66-1</f>
        <v>-0.24257425742574257</v>
      </c>
      <c r="AD67" s="89">
        <f t="shared" ref="AD67" si="115">AD66/Y66-1</f>
        <v>-0.20205312041714196</v>
      </c>
      <c r="AE67" s="89">
        <f t="shared" ref="AE67" si="116">AE66/Z66-1</f>
        <v>1.1467661691542288</v>
      </c>
      <c r="AF67" s="83"/>
      <c r="AG67" s="83"/>
      <c r="AH67" s="89">
        <f>AH66/AC66-1</f>
        <v>0.46684318682271275</v>
      </c>
      <c r="AI67" s="85"/>
      <c r="AJ67" s="85"/>
    </row>
    <row r="68" spans="1:36" x14ac:dyDescent="0.25">
      <c r="B68" s="87" t="s">
        <v>228</v>
      </c>
      <c r="C68" s="113"/>
      <c r="D68" s="114"/>
      <c r="E68" s="115"/>
      <c r="F68" s="115"/>
      <c r="G68" s="115"/>
      <c r="H68" s="115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303">
        <f>S66/S$58</f>
        <v>-0.2406045033791967</v>
      </c>
      <c r="T68" s="303">
        <f t="shared" ref="T68:AE68" si="117">T66/T$58</f>
        <v>-0.10288971102889712</v>
      </c>
      <c r="U68" s="303">
        <f t="shared" si="117"/>
        <v>-5.1198809879667156E-2</v>
      </c>
      <c r="V68" s="303">
        <f t="shared" si="117"/>
        <v>-4.0440625318565869E-2</v>
      </c>
      <c r="W68" s="303">
        <f t="shared" si="117"/>
        <v>-4.7247789207724239E-2</v>
      </c>
      <c r="X68" s="303">
        <f>X66/X$58</f>
        <v>-5.4589745382663042E-2</v>
      </c>
      <c r="Y68" s="303">
        <f t="shared" si="117"/>
        <v>-2.7136976064453082E-2</v>
      </c>
      <c r="Z68" s="303">
        <f t="shared" si="117"/>
        <v>-6.2836667949211236E-2</v>
      </c>
      <c r="AA68" s="303">
        <f>AA66/AA$58</f>
        <v>-3.3244306517724115E-2</v>
      </c>
      <c r="AB68" s="303">
        <f t="shared" si="117"/>
        <v>-3.214348434463888E-2</v>
      </c>
      <c r="AC68" s="303">
        <f>AC66/AC$58</f>
        <v>-3.4646793995759213E-2</v>
      </c>
      <c r="AD68" s="303">
        <f t="shared" si="117"/>
        <v>-3.7936243560444671E-2</v>
      </c>
      <c r="AE68" s="303">
        <f t="shared" si="117"/>
        <v>-6.2469722870299733E-2</v>
      </c>
      <c r="AF68" s="289">
        <f>AVERAGE(Y68:AB68)</f>
        <v>-3.8840358719006825E-2</v>
      </c>
      <c r="AG68" s="289">
        <f>AF68</f>
        <v>-3.8840358719006825E-2</v>
      </c>
      <c r="AH68" s="303">
        <f>AH66/AH$58</f>
        <v>-4.823117024563648E-2</v>
      </c>
      <c r="AI68" s="116">
        <f>AH68</f>
        <v>-4.823117024563648E-2</v>
      </c>
      <c r="AJ68" s="116">
        <f>AI68</f>
        <v>-4.823117024563648E-2</v>
      </c>
    </row>
    <row r="69" spans="1:36" x14ac:dyDescent="0.25">
      <c r="B69" s="37" t="str">
        <f>'Raw Input'!A27</f>
        <v>Other financial income (expense)</v>
      </c>
      <c r="C69" s="113"/>
      <c r="D69" s="114"/>
      <c r="E69" s="115"/>
      <c r="F69" s="115"/>
      <c r="G69" s="115"/>
      <c r="H69" s="115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>
        <f>'Raw Input'!B27</f>
        <v>-7194</v>
      </c>
      <c r="T69" s="82">
        <f>'Raw Input'!C27</f>
        <v>-28949</v>
      </c>
      <c r="U69" s="82">
        <f>'Raw Input'!D27</f>
        <v>14575</v>
      </c>
      <c r="V69" s="82">
        <f>'Raw Input'!E27</f>
        <v>-29453</v>
      </c>
      <c r="W69" s="82">
        <f>'Raw Input'!F27</f>
        <v>-23729</v>
      </c>
      <c r="X69" s="82">
        <f>'Raw Input'!G27</f>
        <v>-67556</v>
      </c>
      <c r="Y69" s="82">
        <f>'Raw Input'!H27</f>
        <v>-14315</v>
      </c>
      <c r="Z69" s="82">
        <f>'Raw Input'!I27</f>
        <v>-19967</v>
      </c>
      <c r="AA69" s="82">
        <f>'Raw Input'!J27</f>
        <v>-27375</v>
      </c>
      <c r="AB69" s="82">
        <f>'Raw Input'!K27</f>
        <v>-3827</v>
      </c>
      <c r="AC69" s="82">
        <f>'Raw Input'!L27</f>
        <v>-65484</v>
      </c>
      <c r="AD69" s="82">
        <f>'Raw Input'!M27</f>
        <v>-22630</v>
      </c>
      <c r="AE69" s="82">
        <f>'Raw Input'!N27</f>
        <v>-130</v>
      </c>
      <c r="AF69" s="82">
        <f>AF71*AF$58</f>
        <v>-25468.92774284356</v>
      </c>
      <c r="AG69" s="82">
        <f>AG71*AG$58</f>
        <v>-27288.136867332381</v>
      </c>
      <c r="AH69" s="85">
        <f>SUM(AD69:AG69)</f>
        <v>-75517.064610175934</v>
      </c>
      <c r="AI69" s="85">
        <f>AI71*AI$58</f>
        <v>-89486.260822420125</v>
      </c>
      <c r="AJ69" s="85">
        <f>AJ71*AJ$58</f>
        <v>-103987.70651064412</v>
      </c>
    </row>
    <row r="70" spans="1:36" x14ac:dyDescent="0.25">
      <c r="B70" s="87" t="s">
        <v>222</v>
      </c>
      <c r="C70" s="73"/>
      <c r="D70" s="60"/>
      <c r="E70" s="74"/>
      <c r="F70" s="74"/>
      <c r="G70" s="74"/>
      <c r="H70" s="74"/>
      <c r="I70" s="82"/>
      <c r="J70" s="99"/>
      <c r="K70" s="99"/>
      <c r="L70" s="99"/>
      <c r="M70" s="9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>
        <f>X69/S69-1</f>
        <v>8.390603280511538</v>
      </c>
      <c r="Y70" s="89">
        <f t="shared" ref="Y70" si="118">Y69/T69-1</f>
        <v>-0.50550968945386709</v>
      </c>
      <c r="Z70" s="89">
        <f>Z69/U69-1</f>
        <v>-2.3699485420240136</v>
      </c>
      <c r="AA70" s="89">
        <f t="shared" ref="AA70" si="119">AA69/V69-1</f>
        <v>-7.0553084575425307E-2</v>
      </c>
      <c r="AB70" s="89">
        <f>AB69/W69-1</f>
        <v>-0.83872055290994141</v>
      </c>
      <c r="AC70" s="89">
        <f t="shared" ref="AC70" si="120">AC69/X69-1</f>
        <v>-3.0670850849665476E-2</v>
      </c>
      <c r="AD70" s="89">
        <f t="shared" ref="AD70" si="121">AD69/Y69-1</f>
        <v>0.58085923856095012</v>
      </c>
      <c r="AE70" s="89">
        <f t="shared" ref="AE70" si="122">AE69/Z69-1</f>
        <v>-0.99348925727450288</v>
      </c>
      <c r="AF70" s="83"/>
      <c r="AG70" s="83"/>
      <c r="AH70" s="89">
        <f>AH69/AC69-1</f>
        <v>0.1532139852509915</v>
      </c>
      <c r="AI70" s="85"/>
      <c r="AJ70" s="85"/>
    </row>
    <row r="71" spans="1:36" s="106" customFormat="1" x14ac:dyDescent="0.25">
      <c r="B71" s="87" t="s">
        <v>228</v>
      </c>
      <c r="C71" s="68"/>
      <c r="D71" s="37"/>
      <c r="E71" s="69"/>
      <c r="F71" s="69"/>
      <c r="G71" s="69"/>
      <c r="H71" s="69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303">
        <f>S69/S$58</f>
        <v>-3.4167169311289797E-2</v>
      </c>
      <c r="T71" s="303">
        <f t="shared" ref="T71:AE71" si="123">T69/T$58</f>
        <v>-0.36182631736826315</v>
      </c>
      <c r="U71" s="303">
        <f t="shared" si="123"/>
        <v>0.10132011595331281</v>
      </c>
      <c r="V71" s="303">
        <f t="shared" si="123"/>
        <v>-0.17661591600055168</v>
      </c>
      <c r="W71" s="303">
        <f t="shared" si="123"/>
        <v>-0.17129759971124345</v>
      </c>
      <c r="X71" s="303">
        <f>X69/X$58</f>
        <v>-0.1276696267766802</v>
      </c>
      <c r="Y71" s="303">
        <f t="shared" si="123"/>
        <v>-6.329897545423592E-2</v>
      </c>
      <c r="Z71" s="303">
        <f t="shared" si="123"/>
        <v>-0.24008031935359753</v>
      </c>
      <c r="AA71" s="303">
        <f>AA69/AA$58</f>
        <v>-0.18795185686135849</v>
      </c>
      <c r="AB71" s="303">
        <f t="shared" si="123"/>
        <v>-2.168014003999524E-2</v>
      </c>
      <c r="AC71" s="303">
        <f>AC69/AC$58</f>
        <v>-0.10369809671458004</v>
      </c>
      <c r="AD71" s="303">
        <f t="shared" si="123"/>
        <v>-0.17531084169345779</v>
      </c>
      <c r="AE71" s="303">
        <f t="shared" si="123"/>
        <v>-7.2386700892583707E-4</v>
      </c>
      <c r="AF71" s="289">
        <f>AVERAGE(Y71:AB71)</f>
        <v>-0.12825282292729678</v>
      </c>
      <c r="AG71" s="289">
        <f>AF71</f>
        <v>-0.12825282292729678</v>
      </c>
      <c r="AH71" s="303">
        <f>AH69/AH$58</f>
        <v>-0.11349108383845688</v>
      </c>
      <c r="AI71" s="116">
        <f>AH71</f>
        <v>-0.11349108383845688</v>
      </c>
      <c r="AJ71" s="116">
        <f>AI71</f>
        <v>-0.11349108383845688</v>
      </c>
    </row>
    <row r="72" spans="1:36" s="60" customFormat="1" x14ac:dyDescent="0.25">
      <c r="B72" s="104" t="str">
        <f>'Raw Input'!A29</f>
        <v>Financial income (expense), net</v>
      </c>
      <c r="C72" s="73"/>
      <c r="E72" s="74"/>
      <c r="F72" s="74"/>
      <c r="G72" s="74"/>
      <c r="H72" s="74"/>
      <c r="I72" s="275"/>
      <c r="J72" s="275"/>
      <c r="K72" s="275"/>
      <c r="L72" s="275"/>
      <c r="M72" s="275"/>
      <c r="N72" s="275"/>
      <c r="O72" s="275"/>
      <c r="P72" s="275"/>
      <c r="Q72" s="275"/>
      <c r="R72" s="275"/>
      <c r="S72" s="275">
        <f>'Raw Input'!B29</f>
        <v>-57789</v>
      </c>
      <c r="T72" s="275">
        <f>'Raw Input'!C29</f>
        <v>-37165</v>
      </c>
      <c r="U72" s="275">
        <f>'Raw Input'!D29</f>
        <v>7284</v>
      </c>
      <c r="V72" s="275">
        <f>'Raw Input'!E29</f>
        <v>-35903</v>
      </c>
      <c r="W72" s="275">
        <f>'Raw Input'!F29</f>
        <v>-29849</v>
      </c>
      <c r="X72" s="275">
        <f>'Raw Input'!G29</f>
        <v>-95633</v>
      </c>
      <c r="Y72" s="275">
        <f>'Raw Input'!H29</f>
        <v>-20165</v>
      </c>
      <c r="Z72" s="275">
        <f>'Raw Input'!I29</f>
        <v>-24977</v>
      </c>
      <c r="AA72" s="275">
        <f>'Raw Input'!J29</f>
        <v>-31918</v>
      </c>
      <c r="AB72" s="275">
        <f>'Raw Input'!K29</f>
        <v>-9068</v>
      </c>
      <c r="AC72" s="275">
        <f>'Raw Input'!L29</f>
        <v>-86128</v>
      </c>
      <c r="AD72" s="275">
        <f>'Raw Input'!M29</f>
        <v>-27046</v>
      </c>
      <c r="AE72" s="275">
        <f>'Raw Input'!N29</f>
        <v>-10030</v>
      </c>
      <c r="AF72" s="275">
        <f>AF69+AF66+AF63</f>
        <v>-32766.352712225722</v>
      </c>
      <c r="AG72" s="275">
        <f>AG69+AG66+AG63</f>
        <v>-35106.806477384693</v>
      </c>
      <c r="AH72" s="85">
        <f>SUM(AD72:AG72)</f>
        <v>-104949.15918961042</v>
      </c>
      <c r="AI72" s="85">
        <f>AI69+AI66+AI63</f>
        <v>-124362.7235885657</v>
      </c>
      <c r="AJ72" s="85">
        <f>AJ69+AJ66+AJ63</f>
        <v>-144515.97689454537</v>
      </c>
    </row>
    <row r="73" spans="1:36" x14ac:dyDescent="0.25">
      <c r="B73" s="87" t="s">
        <v>222</v>
      </c>
      <c r="C73" s="73"/>
      <c r="D73" s="60"/>
      <c r="E73" s="74"/>
      <c r="F73" s="74"/>
      <c r="G73" s="74"/>
      <c r="H73" s="74"/>
      <c r="I73" s="82"/>
      <c r="J73" s="99"/>
      <c r="K73" s="99"/>
      <c r="L73" s="99"/>
      <c r="M73" s="9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>
        <f>X72/S72-1</f>
        <v>0.6548651127377183</v>
      </c>
      <c r="Y73" s="89">
        <f t="shared" ref="Y73" si="124">Y72/T72-1</f>
        <v>-0.45741961522938246</v>
      </c>
      <c r="Z73" s="89">
        <f>Z72/U72-1</f>
        <v>-4.4290225151015932</v>
      </c>
      <c r="AA73" s="89">
        <f t="shared" ref="AA73" si="125">AA72/V72-1</f>
        <v>-0.11099351029161908</v>
      </c>
      <c r="AB73" s="89">
        <f>AB72/W72-1</f>
        <v>-0.69620422794733494</v>
      </c>
      <c r="AC73" s="89">
        <f t="shared" ref="AC73" si="126">AC72/X72-1</f>
        <v>-9.9390377798458718E-2</v>
      </c>
      <c r="AD73" s="89">
        <f t="shared" ref="AD73" si="127">AD72/Y72-1</f>
        <v>0.34123481279444579</v>
      </c>
      <c r="AE73" s="89">
        <f t="shared" ref="AE73" si="128">AE72/Z72-1</f>
        <v>-0.59843055611162277</v>
      </c>
      <c r="AF73" s="83"/>
      <c r="AG73" s="83"/>
      <c r="AH73" s="89">
        <f>AH72/AC72-1</f>
        <v>0.2185254410831603</v>
      </c>
      <c r="AI73" s="85"/>
      <c r="AJ73" s="85"/>
    </row>
    <row r="74" spans="1:36" x14ac:dyDescent="0.25">
      <c r="B74" s="87" t="s">
        <v>228</v>
      </c>
      <c r="C74" s="68"/>
      <c r="E74" s="69"/>
      <c r="F74" s="69"/>
      <c r="G74" s="69"/>
      <c r="H74" s="69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303">
        <f>S72/S$58</f>
        <v>-0.27446296181958935</v>
      </c>
      <c r="T74" s="303">
        <f t="shared" ref="T74:AE74" si="129">T72/T$58</f>
        <v>-0.46451604839516047</v>
      </c>
      <c r="U74" s="303">
        <f t="shared" si="129"/>
        <v>5.0635727245552688E-2</v>
      </c>
      <c r="V74" s="303">
        <f t="shared" si="129"/>
        <v>-0.21529356032213381</v>
      </c>
      <c r="W74" s="303">
        <f t="shared" si="129"/>
        <v>-0.21547735065872586</v>
      </c>
      <c r="X74" s="303">
        <f>X72/X$58</f>
        <v>-0.18073049644049763</v>
      </c>
      <c r="Y74" s="303">
        <f t="shared" si="129"/>
        <v>-8.91668767051811E-2</v>
      </c>
      <c r="Z74" s="303">
        <f t="shared" si="129"/>
        <v>-0.30031983455175065</v>
      </c>
      <c r="AA74" s="303">
        <f>AA72/AA$58</f>
        <v>-0.21914328282377496</v>
      </c>
      <c r="AB74" s="303">
        <f t="shared" si="129"/>
        <v>-5.1370658448569861E-2</v>
      </c>
      <c r="AC74" s="303">
        <f>AC72/AC$58</f>
        <v>-0.13638918932614608</v>
      </c>
      <c r="AD74" s="303">
        <f t="shared" si="129"/>
        <v>-0.2095208583491498</v>
      </c>
      <c r="AE74" s="303">
        <f t="shared" si="129"/>
        <v>-5.5849123842508813E-2</v>
      </c>
      <c r="AF74" s="289">
        <f>AVERAGE(Y74:AB74)</f>
        <v>-0.16500016313231913</v>
      </c>
      <c r="AG74" s="289">
        <f>AF74</f>
        <v>-0.16500016313231913</v>
      </c>
      <c r="AH74" s="303">
        <f>AH72/AH$58</f>
        <v>-0.15772320979169327</v>
      </c>
      <c r="AI74" s="116"/>
      <c r="AJ74" s="116"/>
    </row>
    <row r="75" spans="1:36" x14ac:dyDescent="0.25">
      <c r="A75" s="70"/>
      <c r="B75" s="101"/>
      <c r="C75" s="68"/>
      <c r="E75" s="69"/>
      <c r="F75" s="69"/>
      <c r="G75" s="69"/>
      <c r="H75" s="69"/>
      <c r="I75" s="100"/>
      <c r="J75" s="100"/>
      <c r="K75" s="100"/>
      <c r="L75" s="100"/>
      <c r="M75" s="100"/>
      <c r="N75" s="102"/>
      <c r="O75" s="102"/>
      <c r="P75" s="102"/>
      <c r="Q75" s="102"/>
      <c r="R75" s="102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3"/>
      <c r="AI75" s="103"/>
      <c r="AJ75" s="103"/>
    </row>
    <row r="76" spans="1:36" s="114" customFormat="1" x14ac:dyDescent="0.25">
      <c r="B76" s="104" t="str">
        <f>'Raw Input'!A31</f>
        <v>Profit before income tax</v>
      </c>
      <c r="C76" s="73"/>
      <c r="D76" s="60"/>
      <c r="E76" s="74"/>
      <c r="F76" s="74"/>
      <c r="G76" s="74"/>
      <c r="H76" s="74"/>
      <c r="I76" s="275"/>
      <c r="J76" s="275"/>
      <c r="K76" s="275"/>
      <c r="L76" s="275"/>
      <c r="M76" s="275"/>
      <c r="N76" s="275"/>
      <c r="O76" s="275"/>
      <c r="P76" s="275"/>
      <c r="Q76" s="275"/>
      <c r="R76" s="275"/>
      <c r="S76" s="275">
        <f>'Raw Input'!B31</f>
        <v>152764</v>
      </c>
      <c r="T76" s="275">
        <f>'Raw Input'!C31</f>
        <v>42843</v>
      </c>
      <c r="U76" s="275">
        <f>'Raw Input'!D31</f>
        <v>151135</v>
      </c>
      <c r="V76" s="275">
        <f>'Raw Input'!E31</f>
        <v>130860</v>
      </c>
      <c r="W76" s="275">
        <f>'Raw Input'!F31</f>
        <v>108676</v>
      </c>
      <c r="X76" s="275">
        <f>'Raw Input'!G31</f>
        <v>433514</v>
      </c>
      <c r="Y76" s="275">
        <f>'Raw Input'!H31</f>
        <v>205984</v>
      </c>
      <c r="Z76" s="275">
        <f>'Raw Input'!I31</f>
        <v>58191</v>
      </c>
      <c r="AA76" s="275">
        <f>'Raw Input'!J31</f>
        <v>113731</v>
      </c>
      <c r="AB76" s="275">
        <f>'Raw Input'!K31</f>
        <v>167453</v>
      </c>
      <c r="AC76" s="275">
        <f>'Raw Input'!L31</f>
        <v>545359</v>
      </c>
      <c r="AD76" s="275">
        <f>'Raw Input'!M31</f>
        <v>102039</v>
      </c>
      <c r="AE76" s="275">
        <f>'Raw Input'!N31</f>
        <v>169561</v>
      </c>
      <c r="AF76" s="275">
        <f>AF58+AF72</f>
        <v>165817.40678351058</v>
      </c>
      <c r="AG76" s="275">
        <f>AG58+AG72</f>
        <v>177661.50726804702</v>
      </c>
      <c r="AH76" s="85">
        <f>AH58+AH72</f>
        <v>560451.6992396462</v>
      </c>
      <c r="AI76" s="85">
        <f>AI58+AI72</f>
        <v>664124.42267743347</v>
      </c>
      <c r="AJ76" s="85">
        <f>AJ58+AJ72</f>
        <v>771747.24831757904</v>
      </c>
    </row>
    <row r="77" spans="1:36" x14ac:dyDescent="0.25">
      <c r="B77" s="87" t="s">
        <v>222</v>
      </c>
      <c r="C77" s="68"/>
      <c r="E77" s="69"/>
      <c r="F77" s="69"/>
      <c r="G77" s="69"/>
      <c r="H77" s="69"/>
      <c r="I77" s="82"/>
      <c r="J77" s="99"/>
      <c r="K77" s="99"/>
      <c r="L77" s="99"/>
      <c r="M77" s="9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>
        <f>X76/S76-1</f>
        <v>1.8378020999711975</v>
      </c>
      <c r="Y77" s="89">
        <f t="shared" ref="Y77" si="130">Y76/T76-1</f>
        <v>3.8078799337114582</v>
      </c>
      <c r="Z77" s="89">
        <f>Z76/U76-1</f>
        <v>-0.61497336818076553</v>
      </c>
      <c r="AA77" s="89">
        <f t="shared" ref="AA77" si="131">AA76/V76-1</f>
        <v>-0.13089561363289015</v>
      </c>
      <c r="AB77" s="89">
        <f>AB76/W76-1</f>
        <v>0.54084618499024617</v>
      </c>
      <c r="AC77" s="89">
        <f t="shared" ref="AC77" si="132">AC76/X76-1</f>
        <v>0.2579962815503074</v>
      </c>
      <c r="AD77" s="89">
        <f t="shared" ref="AD77" si="133">AD76/Y76-1</f>
        <v>-0.50462657293770397</v>
      </c>
      <c r="AE77" s="89">
        <f t="shared" ref="AE77" si="134">AE76/Z76-1</f>
        <v>1.9138698424154938</v>
      </c>
      <c r="AF77" s="83"/>
      <c r="AG77" s="83"/>
      <c r="AH77" s="89">
        <f>AH76/AC76-1</f>
        <v>2.7674796307837868E-2</v>
      </c>
      <c r="AI77" s="85"/>
      <c r="AJ77" s="85"/>
    </row>
    <row r="78" spans="1:36" s="60" customFormat="1" x14ac:dyDescent="0.25">
      <c r="B78" s="87" t="s">
        <v>228</v>
      </c>
      <c r="C78" s="68"/>
      <c r="D78" s="37"/>
      <c r="E78" s="69"/>
      <c r="F78" s="69"/>
      <c r="G78" s="69"/>
      <c r="H78" s="69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303">
        <f>S76/S$58</f>
        <v>0.7255370381804106</v>
      </c>
      <c r="T78" s="303">
        <f t="shared" ref="T78:AE78" si="135">T76/T$58</f>
        <v>0.53548395160483953</v>
      </c>
      <c r="U78" s="303">
        <f t="shared" si="135"/>
        <v>1.0506357272455527</v>
      </c>
      <c r="V78" s="303">
        <f t="shared" si="135"/>
        <v>0.78470643967786624</v>
      </c>
      <c r="W78" s="303">
        <f t="shared" si="135"/>
        <v>0.78452264934127414</v>
      </c>
      <c r="X78" s="303">
        <f>X76/X$58</f>
        <v>0.81926950355950234</v>
      </c>
      <c r="Y78" s="303">
        <f t="shared" si="135"/>
        <v>0.91083312329481891</v>
      </c>
      <c r="Z78" s="303">
        <f t="shared" si="135"/>
        <v>0.69968016544824929</v>
      </c>
      <c r="AA78" s="303">
        <f>AA76/AA$58</f>
        <v>0.78085671717622507</v>
      </c>
      <c r="AB78" s="303">
        <f t="shared" si="135"/>
        <v>0.94862934155143019</v>
      </c>
      <c r="AC78" s="303">
        <f>AC76/AC$58</f>
        <v>0.86361081067385392</v>
      </c>
      <c r="AD78" s="303">
        <f t="shared" si="135"/>
        <v>0.7904791416508502</v>
      </c>
      <c r="AE78" s="303">
        <f t="shared" si="135"/>
        <v>0.94415087615749116</v>
      </c>
      <c r="AF78" s="289"/>
      <c r="AG78" s="289"/>
      <c r="AH78" s="303">
        <f>AH76/AH$58</f>
        <v>0.84227679020830681</v>
      </c>
      <c r="AI78" s="116">
        <f>AH78</f>
        <v>0.84227679020830681</v>
      </c>
      <c r="AJ78" s="116">
        <f>AI78</f>
        <v>0.84227679020830681</v>
      </c>
    </row>
    <row r="79" spans="1:36" x14ac:dyDescent="0.25">
      <c r="B79" s="39" t="str">
        <f>'Raw Input'!A33</f>
        <v>Current income tax (expense)</v>
      </c>
      <c r="C79" s="68"/>
      <c r="E79" s="69"/>
      <c r="F79" s="69"/>
      <c r="G79" s="69"/>
      <c r="H79" s="69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>
        <f>'Raw Input'!B33</f>
        <v>-62419</v>
      </c>
      <c r="T79" s="82">
        <f>'Raw Input'!C33</f>
        <v>-26559</v>
      </c>
      <c r="U79" s="82">
        <f>'Raw Input'!D33</f>
        <v>-51633</v>
      </c>
      <c r="V79" s="82">
        <f>'Raw Input'!E33</f>
        <v>-68457</v>
      </c>
      <c r="W79" s="82">
        <f>'Raw Input'!F33</f>
        <v>54560</v>
      </c>
      <c r="X79" s="82">
        <f>'Raw Input'!G33</f>
        <v>-92089</v>
      </c>
      <c r="Y79" s="82">
        <f>'Raw Input'!H33</f>
        <v>-47568</v>
      </c>
      <c r="Z79" s="82">
        <f>'Raw Input'!I33</f>
        <v>-7017</v>
      </c>
      <c r="AA79" s="82">
        <f>'Raw Input'!J33</f>
        <v>-1378</v>
      </c>
      <c r="AB79" s="82">
        <f>'Raw Input'!K33</f>
        <v>39570</v>
      </c>
      <c r="AC79" s="82">
        <f>'Raw Input'!L33</f>
        <v>-16393</v>
      </c>
      <c r="AD79" s="82">
        <f>'Raw Input'!M33</f>
        <v>-63789</v>
      </c>
      <c r="AE79" s="82">
        <f>'Raw Input'!N33</f>
        <v>-105613</v>
      </c>
      <c r="AF79" s="82">
        <f>AF81*AF$58</f>
        <v>-3971.95978142894</v>
      </c>
      <c r="AG79" s="82">
        <f>AG81*AG$58</f>
        <v>-4255.6711943881492</v>
      </c>
      <c r="AH79" s="85">
        <f>SUM(AD79:AG79)</f>
        <v>-177629.6309758171</v>
      </c>
      <c r="AI79" s="85"/>
      <c r="AJ79" s="85"/>
    </row>
    <row r="80" spans="1:36" s="304" customFormat="1" x14ac:dyDescent="0.25">
      <c r="B80" s="87" t="s">
        <v>222</v>
      </c>
      <c r="C80" s="68"/>
      <c r="D80" s="37"/>
      <c r="E80" s="69"/>
      <c r="F80" s="69"/>
      <c r="G80" s="69"/>
      <c r="H80" s="69"/>
      <c r="I80" s="82"/>
      <c r="J80" s="294"/>
      <c r="K80" s="294"/>
      <c r="L80" s="294"/>
      <c r="M80" s="294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>
        <f>X79/S79-1</f>
        <v>0.47533603550201065</v>
      </c>
      <c r="Y80" s="111">
        <f t="shared" ref="Y80" si="136">Y79/T79-1</f>
        <v>0.79103128882864571</v>
      </c>
      <c r="Z80" s="111">
        <f>Z79/U79-1</f>
        <v>-0.86409854163035271</v>
      </c>
      <c r="AA80" s="111">
        <f t="shared" ref="AA80" si="137">AA79/V79-1</f>
        <v>-0.97987057568984914</v>
      </c>
      <c r="AB80" s="111">
        <f>AB79/W79-1</f>
        <v>-0.27474340175953083</v>
      </c>
      <c r="AC80" s="111">
        <f t="shared" ref="AC80" si="138">AC79/X79-1</f>
        <v>-0.82198742520822243</v>
      </c>
      <c r="AD80" s="111">
        <f t="shared" ref="AD80" si="139">AD79/Y79-1</f>
        <v>0.34100655903128163</v>
      </c>
      <c r="AE80" s="111">
        <f t="shared" ref="AE80" si="140">AE79/Z79-1</f>
        <v>14.051018953968933</v>
      </c>
      <c r="AF80" s="83"/>
      <c r="AG80" s="83"/>
      <c r="AH80" s="89">
        <f>AH79/AC79-1</f>
        <v>9.8357000534262848</v>
      </c>
      <c r="AI80" s="85"/>
      <c r="AJ80" s="85"/>
    </row>
    <row r="81" spans="2:36" x14ac:dyDescent="0.25">
      <c r="B81" s="87" t="s">
        <v>228</v>
      </c>
      <c r="C81" s="105"/>
      <c r="D81" s="106"/>
      <c r="E81" s="107"/>
      <c r="F81" s="107"/>
      <c r="G81" s="107"/>
      <c r="H81" s="107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303">
        <f>S79/S$58</f>
        <v>-0.29645267462349145</v>
      </c>
      <c r="T81" s="303">
        <f t="shared" ref="T81:AE81" si="141">T79/T$58</f>
        <v>-0.33195430456954306</v>
      </c>
      <c r="U81" s="303">
        <f t="shared" si="141"/>
        <v>-0.35893389687940996</v>
      </c>
      <c r="V81" s="303">
        <f t="shared" si="141"/>
        <v>-0.41050472826706164</v>
      </c>
      <c r="W81" s="303">
        <f t="shared" si="141"/>
        <v>0.39386392347951632</v>
      </c>
      <c r="X81" s="303">
        <f>X79/X$58</f>
        <v>-0.17403292468822462</v>
      </c>
      <c r="Y81" s="303">
        <f t="shared" si="141"/>
        <v>-0.21033920114614701</v>
      </c>
      <c r="Z81" s="303">
        <f t="shared" si="141"/>
        <v>-8.4371392843401311E-2</v>
      </c>
      <c r="AA81" s="303">
        <f>AA79/AA$58</f>
        <v>-9.4611016896786106E-3</v>
      </c>
      <c r="AB81" s="303">
        <f t="shared" si="141"/>
        <v>0.2241659632564964</v>
      </c>
      <c r="AC81" s="303">
        <f>AC79/AC$58</f>
        <v>-2.5959362583869501E-2</v>
      </c>
      <c r="AD81" s="303">
        <f t="shared" si="141"/>
        <v>-0.4941627609714529</v>
      </c>
      <c r="AE81" s="303">
        <f t="shared" si="141"/>
        <v>-0.58807512625911096</v>
      </c>
      <c r="AF81" s="289">
        <f>AVERAGE(Y81:AB81)</f>
        <v>-2.0001433105682642E-2</v>
      </c>
      <c r="AG81" s="289">
        <f>AF81</f>
        <v>-2.0001433105682642E-2</v>
      </c>
      <c r="AH81" s="303">
        <f>AH79/AH$58</f>
        <v>-0.26695131021491181</v>
      </c>
      <c r="AI81" s="116"/>
      <c r="AJ81" s="116"/>
    </row>
    <row r="82" spans="2:36" x14ac:dyDescent="0.25">
      <c r="B82" s="39" t="str">
        <f>'Raw Input'!A34</f>
        <v>Deferred income tax (expense)</v>
      </c>
      <c r="C82" s="68"/>
      <c r="E82" s="69"/>
      <c r="F82" s="69"/>
      <c r="G82" s="69"/>
      <c r="H82" s="69"/>
      <c r="I82" s="100"/>
      <c r="J82" s="100"/>
      <c r="K82" s="100"/>
      <c r="L82" s="100"/>
      <c r="M82" s="100"/>
      <c r="N82" s="102"/>
      <c r="O82" s="102"/>
      <c r="P82" s="102"/>
      <c r="Q82" s="102"/>
      <c r="R82" s="102"/>
      <c r="S82" s="100">
        <f>'Raw Input'!B34</f>
        <v>-39695</v>
      </c>
      <c r="T82" s="100">
        <f>'Raw Input'!C34</f>
        <v>-750</v>
      </c>
      <c r="U82" s="100">
        <f>'Raw Input'!D34</f>
        <v>2334</v>
      </c>
      <c r="V82" s="100">
        <f>'Raw Input'!E34</f>
        <v>14258</v>
      </c>
      <c r="W82" s="100">
        <f>'Raw Input'!F34</f>
        <v>-87732</v>
      </c>
      <c r="X82" s="100">
        <f>'Raw Input'!G34</f>
        <v>-71890</v>
      </c>
      <c r="Y82" s="100">
        <f>'Raw Input'!H34</f>
        <v>-29682</v>
      </c>
      <c r="Z82" s="100">
        <f>'Raw Input'!I34</f>
        <v>1007</v>
      </c>
      <c r="AA82" s="100">
        <f>'Raw Input'!J34</f>
        <v>-29251</v>
      </c>
      <c r="AB82" s="100">
        <f>'Raw Input'!K34</f>
        <v>-74085</v>
      </c>
      <c r="AC82" s="100">
        <f>'Raw Input'!L34</f>
        <v>-132011</v>
      </c>
      <c r="AD82" s="100">
        <f>'Raw Input'!M34</f>
        <v>40401</v>
      </c>
      <c r="AE82" s="100">
        <f>'Raw Input'!N34</f>
        <v>75692</v>
      </c>
      <c r="AF82" s="82">
        <f>AF84*AF$58</f>
        <v>-36721.561389353221</v>
      </c>
      <c r="AG82" s="82">
        <f>AG84*AG$58</f>
        <v>-39344.530060021301</v>
      </c>
      <c r="AH82" s="85">
        <f>SUM(AD82:AG82)</f>
        <v>40026.908550625485</v>
      </c>
      <c r="AI82" s="103"/>
      <c r="AJ82" s="103"/>
    </row>
    <row r="83" spans="2:36" x14ac:dyDescent="0.25">
      <c r="B83" s="87" t="s">
        <v>222</v>
      </c>
      <c r="C83" s="68"/>
      <c r="E83" s="69"/>
      <c r="F83" s="69"/>
      <c r="G83" s="69"/>
      <c r="H83" s="69"/>
      <c r="I83" s="82"/>
      <c r="J83" s="83"/>
      <c r="K83" s="83"/>
      <c r="L83" s="83"/>
      <c r="M83" s="83"/>
      <c r="N83" s="83"/>
      <c r="O83" s="83"/>
      <c r="P83" s="83"/>
      <c r="Q83" s="83"/>
      <c r="R83" s="83"/>
      <c r="S83" s="111"/>
      <c r="T83" s="111"/>
      <c r="U83" s="111"/>
      <c r="V83" s="111"/>
      <c r="W83" s="111"/>
      <c r="X83" s="111">
        <f>X82/S82-1</f>
        <v>0.81105932737120545</v>
      </c>
      <c r="Y83" s="111">
        <f t="shared" ref="Y83" si="142">Y82/T82-1</f>
        <v>38.576000000000001</v>
      </c>
      <c r="Z83" s="111">
        <f>Z82/U82-1</f>
        <v>-0.56855184233076261</v>
      </c>
      <c r="AA83" s="111">
        <f t="shared" ref="AA83" si="143">AA82/V82-1</f>
        <v>-3.0515500070136063</v>
      </c>
      <c r="AB83" s="111">
        <f>AB82/W82-1</f>
        <v>-0.15555327588565171</v>
      </c>
      <c r="AC83" s="111">
        <f t="shared" ref="AC83" si="144">AC82/X82-1</f>
        <v>0.83629155654472109</v>
      </c>
      <c r="AD83" s="111">
        <f t="shared" ref="AD83" si="145">AD82/Y82-1</f>
        <v>-2.3611279563371741</v>
      </c>
      <c r="AE83" s="111">
        <f t="shared" ref="AE83" si="146">AE82/Z82-1</f>
        <v>74.165839126117177</v>
      </c>
      <c r="AF83" s="83"/>
      <c r="AG83" s="83"/>
      <c r="AH83" s="89">
        <f>AH82/AC82-1</f>
        <v>-1.3032088882792001</v>
      </c>
      <c r="AI83" s="85"/>
      <c r="AJ83" s="85"/>
    </row>
    <row r="84" spans="2:36" x14ac:dyDescent="0.25">
      <c r="B84" s="87" t="s">
        <v>228</v>
      </c>
      <c r="C84" s="73"/>
      <c r="D84" s="60"/>
      <c r="E84" s="74"/>
      <c r="F84" s="74"/>
      <c r="G84" s="74"/>
      <c r="H84" s="74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303">
        <f>S82/S$58</f>
        <v>-0.18852735415786048</v>
      </c>
      <c r="T84" s="303">
        <f t="shared" ref="T84:AE84" si="147">T82/T$58</f>
        <v>-9.3740625937406251E-3</v>
      </c>
      <c r="U84" s="303">
        <f t="shared" si="147"/>
        <v>1.6225121827446454E-2</v>
      </c>
      <c r="V84" s="303">
        <f t="shared" si="147"/>
        <v>8.5498581819708208E-2</v>
      </c>
      <c r="W84" s="303">
        <f t="shared" si="147"/>
        <v>-0.63332972387655662</v>
      </c>
      <c r="X84" s="303">
        <f>X82/X$58</f>
        <v>-0.13586016740149712</v>
      </c>
      <c r="Y84" s="303">
        <f t="shared" si="147"/>
        <v>-0.13124975127018029</v>
      </c>
      <c r="Z84" s="303">
        <f t="shared" si="147"/>
        <v>1.210802231627549E-2</v>
      </c>
      <c r="AA84" s="303">
        <f>AA82/AA$58</f>
        <v>-0.20083213753613138</v>
      </c>
      <c r="AB84" s="303">
        <f t="shared" si="147"/>
        <v>-0.41969510709773911</v>
      </c>
      <c r="AC84" s="303">
        <f>AC82/AC$58</f>
        <v>-0.20904785054957584</v>
      </c>
      <c r="AD84" s="303">
        <f t="shared" si="147"/>
        <v>0.3129798194987799</v>
      </c>
      <c r="AE84" s="303">
        <f t="shared" si="147"/>
        <v>0.42146878184318814</v>
      </c>
      <c r="AF84" s="289">
        <f>AVERAGE(Y84:AB84)</f>
        <v>-0.18491724339694382</v>
      </c>
      <c r="AG84" s="289">
        <f>AF84</f>
        <v>-0.18491724339694382</v>
      </c>
      <c r="AH84" s="303">
        <f>AH82/AH$58</f>
        <v>6.0154579068492475E-2</v>
      </c>
      <c r="AI84" s="275"/>
      <c r="AJ84" s="275"/>
    </row>
    <row r="85" spans="2:36" s="60" customFormat="1" x14ac:dyDescent="0.25">
      <c r="B85" s="104" t="str">
        <f>'Raw Input'!A36</f>
        <v>Income tax (expense)</v>
      </c>
      <c r="C85" s="73"/>
      <c r="E85" s="74"/>
      <c r="F85" s="74"/>
      <c r="G85" s="74"/>
      <c r="H85" s="74"/>
      <c r="I85" s="275"/>
      <c r="J85" s="326"/>
      <c r="K85" s="326"/>
      <c r="L85" s="326"/>
      <c r="M85" s="326"/>
      <c r="N85" s="327"/>
      <c r="O85" s="327"/>
      <c r="P85" s="327"/>
      <c r="Q85" s="327"/>
      <c r="R85" s="327"/>
      <c r="S85" s="275">
        <f>'Raw Input'!B36</f>
        <v>-102114</v>
      </c>
      <c r="T85" s="275">
        <f>'Raw Input'!C36</f>
        <v>-27309</v>
      </c>
      <c r="U85" s="275">
        <f>'Raw Input'!D36</f>
        <v>-49299</v>
      </c>
      <c r="V85" s="275">
        <f>'Raw Input'!E36</f>
        <v>-54199</v>
      </c>
      <c r="W85" s="275">
        <f>'Raw Input'!F36</f>
        <v>-33172</v>
      </c>
      <c r="X85" s="275">
        <f>'Raw Input'!G36</f>
        <v>-163979</v>
      </c>
      <c r="Y85" s="275">
        <f>'Raw Input'!H36</f>
        <v>-77250</v>
      </c>
      <c r="Z85" s="275">
        <f>'Raw Input'!I36</f>
        <v>-6010</v>
      </c>
      <c r="AA85" s="275">
        <f>'Raw Input'!J36</f>
        <v>-30629</v>
      </c>
      <c r="AB85" s="275">
        <f>'Raw Input'!K36</f>
        <v>-34515</v>
      </c>
      <c r="AC85" s="275">
        <f>'Raw Input'!L36</f>
        <v>-148404</v>
      </c>
      <c r="AD85" s="275">
        <f>'Raw Input'!M36</f>
        <v>-23388</v>
      </c>
      <c r="AE85" s="275">
        <f>'Raw Input'!N36</f>
        <v>-29921</v>
      </c>
      <c r="AF85" s="275">
        <f>AF82+AF79</f>
        <v>-40693.521170782158</v>
      </c>
      <c r="AG85" s="275">
        <f>AG82+AG79</f>
        <v>-43600.201254409447</v>
      </c>
      <c r="AH85" s="85">
        <f>AH82+AH79</f>
        <v>-137602.7224251916</v>
      </c>
      <c r="AI85" s="85">
        <f>AI87*AI58</f>
        <v>-163056.56439877723</v>
      </c>
      <c r="AJ85" s="85">
        <f>AJ87*AJ58</f>
        <v>-189480.23984354275</v>
      </c>
    </row>
    <row r="86" spans="2:36" x14ac:dyDescent="0.25">
      <c r="B86" s="87" t="s">
        <v>222</v>
      </c>
      <c r="C86" s="105"/>
      <c r="D86" s="106"/>
      <c r="E86" s="107"/>
      <c r="F86" s="107"/>
      <c r="G86" s="107"/>
      <c r="H86" s="107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89"/>
      <c r="T86" s="89"/>
      <c r="U86" s="89"/>
      <c r="V86" s="89"/>
      <c r="W86" s="89"/>
      <c r="X86" s="89">
        <f>X85/S85-1</f>
        <v>0.60584248976633948</v>
      </c>
      <c r="Y86" s="89">
        <f t="shared" ref="Y86" si="148">Y85/T85-1</f>
        <v>1.8287377787542569</v>
      </c>
      <c r="Z86" s="89">
        <f>Z85/U85-1</f>
        <v>-0.87809083348546624</v>
      </c>
      <c r="AA86" s="89">
        <f t="shared" ref="AA86" si="149">AA85/V85-1</f>
        <v>-0.43487887230391709</v>
      </c>
      <c r="AB86" s="89">
        <f>AB85/W85-1</f>
        <v>4.048595200771743E-2</v>
      </c>
      <c r="AC86" s="89">
        <f t="shared" ref="AC86" si="150">AC85/X85-1</f>
        <v>-9.4981674482708112E-2</v>
      </c>
      <c r="AD86" s="89">
        <f t="shared" ref="AD86" si="151">AD85/Y85-1</f>
        <v>-0.69724271844660191</v>
      </c>
      <c r="AE86" s="89">
        <f t="shared" ref="AE86" si="152">AE85/Z85-1</f>
        <v>3.9785357737104823</v>
      </c>
      <c r="AF86" s="83"/>
      <c r="AG86" s="83"/>
      <c r="AH86" s="89">
        <f>AH85/AC85-1</f>
        <v>-7.2782927514139728E-2</v>
      </c>
      <c r="AI86" s="108"/>
      <c r="AJ86" s="108"/>
    </row>
    <row r="87" spans="2:36" x14ac:dyDescent="0.25">
      <c r="B87" s="87" t="s">
        <v>228</v>
      </c>
      <c r="C87" s="68"/>
      <c r="E87" s="69"/>
      <c r="F87" s="69"/>
      <c r="G87" s="69"/>
      <c r="H87" s="69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303">
        <f>S85/S$58</f>
        <v>-0.48498002878135199</v>
      </c>
      <c r="T87" s="303">
        <f t="shared" ref="T87:AD87" si="153">T85/T$58</f>
        <v>-0.34132836716328369</v>
      </c>
      <c r="U87" s="303">
        <f t="shared" si="153"/>
        <v>-0.34270877505196351</v>
      </c>
      <c r="V87" s="303">
        <f t="shared" si="153"/>
        <v>-0.32500614644735343</v>
      </c>
      <c r="W87" s="303">
        <f t="shared" si="153"/>
        <v>-0.23946580039704024</v>
      </c>
      <c r="X87" s="303">
        <f>X85/X$58</f>
        <v>-0.30989309208972177</v>
      </c>
      <c r="Y87" s="303">
        <f t="shared" si="153"/>
        <v>-0.34158895241632731</v>
      </c>
      <c r="Z87" s="303">
        <f t="shared" si="153"/>
        <v>-7.2263370527125823E-2</v>
      </c>
      <c r="AA87" s="303">
        <f>AA85/AA$58</f>
        <v>-0.21029323922581</v>
      </c>
      <c r="AB87" s="303">
        <f t="shared" si="153"/>
        <v>-0.19552914384124268</v>
      </c>
      <c r="AC87" s="303">
        <f>AC85/AC$58</f>
        <v>-0.23500721313344533</v>
      </c>
      <c r="AD87" s="303">
        <f t="shared" si="153"/>
        <v>-0.18118294147267305</v>
      </c>
      <c r="AE87" s="303">
        <f>AE85/AE$58</f>
        <v>-0.16660634441592284</v>
      </c>
      <c r="AF87" s="303">
        <f>AF85/AF$58</f>
        <v>-0.20491867650262643</v>
      </c>
      <c r="AG87" s="303">
        <f>AG85/AG$58</f>
        <v>-0.20491867650262643</v>
      </c>
      <c r="AH87" s="303">
        <f>AH85/AH$58</f>
        <v>-0.20679673114641933</v>
      </c>
      <c r="AI87" s="303">
        <f>AH87</f>
        <v>-0.20679673114641933</v>
      </c>
      <c r="AJ87" s="303">
        <f>AI87</f>
        <v>-0.20679673114641933</v>
      </c>
    </row>
    <row r="88" spans="2:36" x14ac:dyDescent="0.25">
      <c r="B88" s="92" t="s">
        <v>216</v>
      </c>
      <c r="C88" s="93"/>
      <c r="D88" s="92"/>
      <c r="E88" s="94"/>
      <c r="F88" s="94"/>
      <c r="G88" s="94"/>
      <c r="H88" s="94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>
        <f>'Raw Input'!B38</f>
        <v>50650</v>
      </c>
      <c r="T88" s="95">
        <f>'Raw Input'!C38</f>
        <v>15534</v>
      </c>
      <c r="U88" s="95">
        <f>'Raw Input'!D38</f>
        <v>101836</v>
      </c>
      <c r="V88" s="95">
        <f>'Raw Input'!E38</f>
        <v>76661</v>
      </c>
      <c r="W88" s="95">
        <f>'Raw Input'!F38</f>
        <v>75504</v>
      </c>
      <c r="X88" s="95">
        <f>'Raw Input'!G38</f>
        <v>269535</v>
      </c>
      <c r="Y88" s="95">
        <f>'Raw Input'!H38</f>
        <v>128734</v>
      </c>
      <c r="Z88" s="95">
        <f>'Raw Input'!I38</f>
        <v>52181</v>
      </c>
      <c r="AA88" s="95">
        <f>'Raw Input'!J38</f>
        <v>83102</v>
      </c>
      <c r="AB88" s="95">
        <f>'Raw Input'!K38</f>
        <v>132938</v>
      </c>
      <c r="AC88" s="95">
        <f>'Raw Input'!L38</f>
        <v>396955</v>
      </c>
      <c r="AD88" s="95">
        <f>'Raw Input'!M38</f>
        <v>78651</v>
      </c>
      <c r="AE88" s="95">
        <f>'Raw Input'!N38</f>
        <v>139640</v>
      </c>
      <c r="AF88" s="95">
        <f>AF76+AF85</f>
        <v>125123.88561272842</v>
      </c>
      <c r="AG88" s="95">
        <f>AG76+AG85</f>
        <v>134061.30601363757</v>
      </c>
      <c r="AH88" s="296">
        <f>AH85+AH76</f>
        <v>422848.9768144546</v>
      </c>
      <c r="AI88" s="296">
        <f>AI85+AI76</f>
        <v>501067.85827865626</v>
      </c>
      <c r="AJ88" s="296">
        <f>AJ85+AJ76</f>
        <v>582267.00847403635</v>
      </c>
    </row>
    <row r="89" spans="2:36" s="307" customFormat="1" x14ac:dyDescent="0.25">
      <c r="B89" s="305" t="s">
        <v>222</v>
      </c>
      <c r="C89" s="306"/>
      <c r="E89" s="308"/>
      <c r="F89" s="308"/>
      <c r="G89" s="308"/>
      <c r="H89" s="308"/>
      <c r="I89" s="82"/>
      <c r="J89" s="309"/>
      <c r="K89" s="309"/>
      <c r="L89" s="309"/>
      <c r="M89" s="309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>
        <f>X88/S88-1</f>
        <v>4.3215202369200396</v>
      </c>
      <c r="Y89" s="100">
        <f t="shared" ref="Y89" si="154">Y88/T88-1</f>
        <v>7.2872408909488868</v>
      </c>
      <c r="Z89" s="100">
        <f>Z88/U88-1</f>
        <v>-0.48759770611571551</v>
      </c>
      <c r="AA89" s="100">
        <f t="shared" ref="AA89" si="155">AA88/V88-1</f>
        <v>8.4019253597005017E-2</v>
      </c>
      <c r="AB89" s="100">
        <f>AB88/W88-1</f>
        <v>0.76067493112947648</v>
      </c>
      <c r="AC89" s="100">
        <f t="shared" ref="AC89" si="156">AC88/X88-1</f>
        <v>0.47274008941324874</v>
      </c>
      <c r="AD89" s="100">
        <f t="shared" ref="AD89" si="157">AD88/Y88-1</f>
        <v>-0.38904252178911558</v>
      </c>
      <c r="AE89" s="100">
        <f t="shared" ref="AE89" si="158">AE88/Z88-1</f>
        <v>1.6760698338475692</v>
      </c>
      <c r="AF89" s="100"/>
      <c r="AG89" s="100"/>
      <c r="AH89" s="100"/>
      <c r="AI89" s="100"/>
      <c r="AJ89" s="100"/>
    </row>
    <row r="90" spans="2:36" s="276" customFormat="1" x14ac:dyDescent="0.25">
      <c r="B90" s="320" t="s">
        <v>229</v>
      </c>
      <c r="C90" s="321"/>
      <c r="D90" s="322"/>
      <c r="E90" s="323"/>
      <c r="F90" s="323"/>
      <c r="G90" s="323"/>
      <c r="H90" s="323"/>
      <c r="I90" s="324"/>
      <c r="J90" s="324"/>
      <c r="K90" s="324"/>
      <c r="L90" s="324"/>
      <c r="M90" s="324"/>
      <c r="N90" s="324"/>
      <c r="O90" s="324"/>
      <c r="P90" s="324"/>
      <c r="Q90" s="324"/>
      <c r="R90" s="324"/>
      <c r="S90" s="280">
        <f t="shared" ref="S90:AG90" si="159">S88/S$13</f>
        <v>7.6129924396146159E-2</v>
      </c>
      <c r="T90" s="280">
        <f t="shared" si="159"/>
        <v>7.4711427472104658E-2</v>
      </c>
      <c r="U90" s="280">
        <f t="shared" si="159"/>
        <v>0.34603609328118573</v>
      </c>
      <c r="V90" s="280">
        <f t="shared" si="159"/>
        <v>0.22986668745614719</v>
      </c>
      <c r="W90" s="280">
        <f t="shared" si="159"/>
        <v>0.23573194794814797</v>
      </c>
      <c r="X90" s="280">
        <f t="shared" si="159"/>
        <v>0.22694626408231311</v>
      </c>
      <c r="Y90" s="280">
        <f t="shared" si="159"/>
        <v>0.40585768782117976</v>
      </c>
      <c r="Z90" s="280">
        <f t="shared" si="159"/>
        <v>0.21775835878945698</v>
      </c>
      <c r="AA90" s="280">
        <f t="shared" si="159"/>
        <v>0.28686923082233867</v>
      </c>
      <c r="AB90" s="280">
        <f t="shared" si="159"/>
        <v>0.42994734731367806</v>
      </c>
      <c r="AC90" s="280">
        <f t="shared" si="159"/>
        <v>0.33963366741559958</v>
      </c>
      <c r="AD90" s="280">
        <f t="shared" si="159"/>
        <v>0.24783521137412085</v>
      </c>
      <c r="AE90" s="280">
        <f t="shared" si="159"/>
        <v>0.35199072381936652</v>
      </c>
      <c r="AF90" s="280">
        <f t="shared" si="159"/>
        <v>0.3203153300325301</v>
      </c>
      <c r="AG90" s="280">
        <f t="shared" si="159"/>
        <v>0.32031533003253004</v>
      </c>
      <c r="AH90" s="280">
        <f>AH88/AH$13</f>
        <v>0.28792732050672376</v>
      </c>
      <c r="AI90" s="280">
        <f>AI88/AI$13</f>
        <v>0.29106459447405819</v>
      </c>
      <c r="AJ90" s="280">
        <f>AJ88/AJ$13</f>
        <v>0.29424199476936763</v>
      </c>
    </row>
    <row r="91" spans="2:36" x14ac:dyDescent="0.25">
      <c r="B91" s="101" t="s">
        <v>223</v>
      </c>
      <c r="C91" s="68"/>
      <c r="E91" s="69"/>
      <c r="F91" s="69"/>
      <c r="G91" s="69"/>
      <c r="H91" s="69"/>
      <c r="I91" s="100"/>
      <c r="J91" s="100"/>
      <c r="K91" s="100"/>
      <c r="L91" s="100"/>
      <c r="M91" s="100"/>
      <c r="N91" s="102"/>
      <c r="O91" s="102"/>
      <c r="P91" s="102"/>
      <c r="Q91" s="102"/>
      <c r="R91" s="102"/>
      <c r="S91" s="399">
        <v>79500</v>
      </c>
      <c r="T91" s="400"/>
      <c r="U91" s="400"/>
      <c r="V91" s="400"/>
      <c r="W91" s="400"/>
      <c r="X91" s="399">
        <v>158000</v>
      </c>
      <c r="Y91" s="103"/>
      <c r="Z91" s="103"/>
      <c r="AA91" s="103"/>
      <c r="AB91" s="103"/>
      <c r="AC91" s="399">
        <v>138000</v>
      </c>
      <c r="AD91" s="103"/>
      <c r="AE91" s="103"/>
      <c r="AF91" s="103"/>
      <c r="AG91" s="103"/>
      <c r="AH91" s="399">
        <v>228000</v>
      </c>
      <c r="AI91" s="399">
        <v>342300</v>
      </c>
      <c r="AJ91" s="399">
        <v>425700</v>
      </c>
    </row>
    <row r="92" spans="2:36" x14ac:dyDescent="0.25">
      <c r="B92" s="117"/>
      <c r="C92" s="68"/>
      <c r="E92" s="69"/>
      <c r="F92" s="69"/>
      <c r="G92" s="69"/>
      <c r="H92" s="69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5"/>
      <c r="AI92" s="85"/>
      <c r="AJ92" s="85"/>
    </row>
    <row r="93" spans="2:36" s="60" customFormat="1" x14ac:dyDescent="0.25">
      <c r="B93" s="92" t="s">
        <v>230</v>
      </c>
      <c r="C93" s="93"/>
      <c r="D93" s="92"/>
      <c r="E93" s="94"/>
      <c r="F93" s="94"/>
      <c r="G93" s="94"/>
      <c r="H93" s="94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>
        <f>S58-S23</f>
        <v>401866</v>
      </c>
      <c r="T93" s="95"/>
      <c r="U93" s="95"/>
      <c r="V93" s="95"/>
      <c r="W93" s="95"/>
      <c r="X93" s="95">
        <f>X58-X23</f>
        <v>764009</v>
      </c>
      <c r="Y93" s="95"/>
      <c r="Z93" s="95"/>
      <c r="AA93" s="95"/>
      <c r="AB93" s="95"/>
      <c r="AC93" s="95">
        <f>AC58-AC23</f>
        <v>907917</v>
      </c>
      <c r="AD93" s="95"/>
      <c r="AE93" s="95"/>
      <c r="AF93" s="95"/>
      <c r="AG93" s="95"/>
      <c r="AH93" s="95">
        <f>AH58-AH23</f>
        <v>1043541.4768953812</v>
      </c>
      <c r="AI93" s="95">
        <f>AI58-AI23</f>
        <v>1218862.2827404863</v>
      </c>
      <c r="AJ93" s="95">
        <f>AJ58-AJ23</f>
        <v>1410981.0245276403</v>
      </c>
    </row>
    <row r="94" spans="2:36" x14ac:dyDescent="0.25">
      <c r="B94" s="87" t="s">
        <v>222</v>
      </c>
      <c r="C94" s="68"/>
      <c r="E94" s="69"/>
      <c r="F94" s="69"/>
      <c r="G94" s="69"/>
      <c r="H94" s="69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100"/>
      <c r="T94" s="100"/>
      <c r="U94" s="100"/>
      <c r="V94" s="100"/>
      <c r="W94" s="100"/>
      <c r="X94" s="100">
        <f>X93/S93-1</f>
        <v>0.90115361837030261</v>
      </c>
      <c r="Y94" s="100" t="e">
        <f t="shared" ref="Y94" si="160">Y93/T93-1</f>
        <v>#DIV/0!</v>
      </c>
      <c r="Z94" s="100" t="e">
        <f>Z93/U93-1</f>
        <v>#DIV/0!</v>
      </c>
      <c r="AA94" s="100" t="e">
        <f t="shared" ref="AA94" si="161">AA93/V93-1</f>
        <v>#DIV/0!</v>
      </c>
      <c r="AB94" s="100" t="e">
        <f>AB93/W93-1</f>
        <v>#DIV/0!</v>
      </c>
      <c r="AC94" s="100">
        <f t="shared" ref="AC94" si="162">AC93/X93-1</f>
        <v>0.18835903765531548</v>
      </c>
      <c r="AD94" s="100" t="e">
        <f t="shared" ref="AD94" si="163">AD93/Y93-1</f>
        <v>#DIV/0!</v>
      </c>
      <c r="AE94" s="100" t="e">
        <f t="shared" ref="AE94" si="164">AE93/Z93-1</f>
        <v>#DIV/0!</v>
      </c>
      <c r="AF94" s="100"/>
      <c r="AG94" s="100"/>
      <c r="AH94" s="100"/>
      <c r="AI94" s="85"/>
      <c r="AJ94" s="85"/>
    </row>
    <row r="95" spans="2:36" x14ac:dyDescent="0.25">
      <c r="B95" s="117" t="s">
        <v>231</v>
      </c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280">
        <f t="shared" ref="S95:AG95" si="165">S93/S$13</f>
        <v>0.60402819738167168</v>
      </c>
      <c r="T95" s="280">
        <f t="shared" si="165"/>
        <v>0</v>
      </c>
      <c r="U95" s="280">
        <f t="shared" si="165"/>
        <v>0</v>
      </c>
      <c r="V95" s="280">
        <f t="shared" si="165"/>
        <v>0</v>
      </c>
      <c r="W95" s="280">
        <f t="shared" si="165"/>
        <v>0</v>
      </c>
      <c r="X95" s="280">
        <f t="shared" si="165"/>
        <v>0.64328932522775883</v>
      </c>
      <c r="Y95" s="280">
        <f t="shared" si="165"/>
        <v>0</v>
      </c>
      <c r="Z95" s="280">
        <f t="shared" si="165"/>
        <v>0</v>
      </c>
      <c r="AA95" s="280">
        <f t="shared" si="165"/>
        <v>0</v>
      </c>
      <c r="AB95" s="280">
        <f t="shared" si="165"/>
        <v>0</v>
      </c>
      <c r="AC95" s="280">
        <f t="shared" si="165"/>
        <v>0.77681142804340275</v>
      </c>
      <c r="AD95" s="280">
        <f t="shared" si="165"/>
        <v>0</v>
      </c>
      <c r="AE95" s="280">
        <f t="shared" si="165"/>
        <v>0</v>
      </c>
      <c r="AF95" s="280">
        <f t="shared" si="165"/>
        <v>0</v>
      </c>
      <c r="AG95" s="280">
        <f t="shared" si="165"/>
        <v>0</v>
      </c>
      <c r="AH95" s="280">
        <f>AH93/AH$13</f>
        <v>0.71057071851910725</v>
      </c>
      <c r="AI95" s="280">
        <f>AI93/AI$13</f>
        <v>0.70802317527277792</v>
      </c>
      <c r="AJ95" s="280">
        <f>AJ93/AJ$13</f>
        <v>0.71302317527277803</v>
      </c>
    </row>
    <row r="96" spans="2:36" x14ac:dyDescent="0.25">
      <c r="B96" s="117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5"/>
      <c r="AI96" s="85"/>
      <c r="AJ96" s="85"/>
    </row>
    <row r="97" spans="2:36" x14ac:dyDescent="0.25">
      <c r="B97" s="60" t="s">
        <v>217</v>
      </c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5"/>
      <c r="AI97" s="85"/>
      <c r="AJ97" s="85"/>
    </row>
    <row r="98" spans="2:36" x14ac:dyDescent="0.25">
      <c r="B98" s="37" t="s">
        <v>218</v>
      </c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100">
        <f>'Raw Input'!B49</f>
        <v>0.57399999999999995</v>
      </c>
      <c r="T98" s="100">
        <f>'Raw Input'!C49</f>
        <v>0.17499999999999999</v>
      </c>
      <c r="U98" s="100">
        <f>'Raw Input'!D49</f>
        <v>1.151</v>
      </c>
      <c r="V98" s="100">
        <f>'Raw Input'!E49</f>
        <v>0.88600000000000001</v>
      </c>
      <c r="W98" s="100">
        <f>'Raw Input'!F49</f>
        <v>0.86099999999999999</v>
      </c>
      <c r="X98" s="100">
        <f>'Raw Input'!G49</f>
        <v>3.0680000000000001</v>
      </c>
      <c r="Y98" s="100">
        <f>'Raw Input'!H49</f>
        <v>1.431</v>
      </c>
      <c r="Z98" s="100">
        <f>'Raw Input'!I49</f>
        <v>0.55300000000000005</v>
      </c>
      <c r="AA98" s="100">
        <f>'Raw Input'!J49</f>
        <v>0.874</v>
      </c>
      <c r="AB98" s="100">
        <f>'Raw Input'!K49</f>
        <v>1.3959999999999999</v>
      </c>
      <c r="AC98" s="100">
        <f>'Raw Input'!L49</f>
        <v>4.2370000000000001</v>
      </c>
      <c r="AD98" s="100">
        <f>'Raw Input'!M49</f>
        <v>0.81899999999999995</v>
      </c>
      <c r="AE98" s="100">
        <f>'Raw Input'!N49</f>
        <v>1.444</v>
      </c>
      <c r="AF98" s="82"/>
      <c r="AG98" s="82"/>
      <c r="AH98" s="119">
        <f>AH88/$AE$103</f>
        <v>4.3732387219547828</v>
      </c>
      <c r="AI98" s="119">
        <f>AI88/$AE$103</f>
        <v>5.1822032931457347</v>
      </c>
      <c r="AJ98" s="119">
        <f>AJ88/$AE$103</f>
        <v>6.0219907522509679</v>
      </c>
    </row>
    <row r="99" spans="2:36" x14ac:dyDescent="0.25">
      <c r="B99" s="120" t="s">
        <v>219</v>
      </c>
      <c r="C99" s="297"/>
      <c r="D99" s="297"/>
      <c r="E99" s="297"/>
      <c r="F99" s="297"/>
      <c r="G99" s="297"/>
      <c r="H99" s="297"/>
      <c r="I99" s="298"/>
      <c r="J99" s="298"/>
      <c r="K99" s="298"/>
      <c r="L99" s="298"/>
      <c r="M99" s="298"/>
      <c r="N99" s="298"/>
      <c r="O99" s="298"/>
      <c r="P99" s="298"/>
      <c r="Q99" s="298"/>
      <c r="R99" s="298"/>
      <c r="S99" s="299">
        <f>'Raw Input'!B50</f>
        <v>0.54300000000000004</v>
      </c>
      <c r="T99" s="299">
        <f>'Raw Input'!C50</f>
        <v>0.16300000000000001</v>
      </c>
      <c r="U99" s="299">
        <f>'Raw Input'!D50</f>
        <v>1.0609999999999999</v>
      </c>
      <c r="V99" s="299">
        <f>'Raw Input'!E50</f>
        <v>0.75</v>
      </c>
      <c r="W99" s="299">
        <f>'Raw Input'!F50</f>
        <v>0.76200000000000001</v>
      </c>
      <c r="X99" s="299">
        <f>'Raw Input'!G50</f>
        <v>2.7549999999999999</v>
      </c>
      <c r="Y99" s="299">
        <f>'Raw Input'!H50</f>
        <v>1.3149999999999999</v>
      </c>
      <c r="Z99" s="299">
        <f>'Raw Input'!I50</f>
        <v>0.51900000000000002</v>
      </c>
      <c r="AA99" s="299">
        <f>'Raw Input'!J50</f>
        <v>0.82099999999999995</v>
      </c>
      <c r="AB99" s="299">
        <f>'Raw Input'!K50</f>
        <v>1.3169999999999999</v>
      </c>
      <c r="AC99" s="299">
        <f>'Raw Input'!L50</f>
        <v>4</v>
      </c>
      <c r="AD99" s="299">
        <f>'Raw Input'!M50</f>
        <v>0.79200000000000004</v>
      </c>
      <c r="AE99" s="299">
        <f>'Raw Input'!N50</f>
        <v>1.39</v>
      </c>
      <c r="AF99" s="298"/>
      <c r="AG99" s="298"/>
      <c r="AH99" s="328">
        <f>AH88/$AE$104</f>
        <v>4.2092557843009715</v>
      </c>
      <c r="AI99" s="328">
        <f>AI88/$AE$104</f>
        <v>4.9878866839784566</v>
      </c>
      <c r="AJ99" s="328">
        <f>AJ88/$AE$104</f>
        <v>5.7961847085239979</v>
      </c>
    </row>
    <row r="100" spans="2:36" x14ac:dyDescent="0.25">
      <c r="B100" s="101" t="s">
        <v>223</v>
      </c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103">
        <v>0.4</v>
      </c>
      <c r="T100" s="103"/>
      <c r="U100" s="103"/>
      <c r="V100" s="103"/>
      <c r="W100" s="103"/>
      <c r="X100" s="103">
        <v>2.8</v>
      </c>
      <c r="Y100" s="103"/>
      <c r="Z100" s="103"/>
      <c r="AA100" s="103"/>
      <c r="AB100" s="103"/>
      <c r="AC100" s="103">
        <v>4.17</v>
      </c>
      <c r="AD100" s="103"/>
      <c r="AE100" s="103"/>
      <c r="AF100" s="103"/>
      <c r="AG100" s="103"/>
      <c r="AH100" s="103">
        <v>5.41</v>
      </c>
      <c r="AI100" s="103">
        <v>7.17</v>
      </c>
      <c r="AJ100" s="103">
        <v>8.43</v>
      </c>
    </row>
    <row r="101" spans="2:36" x14ac:dyDescent="0.25"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5"/>
      <c r="AI101" s="85"/>
      <c r="AJ101" s="85"/>
    </row>
    <row r="102" spans="2:36" x14ac:dyDescent="0.25">
      <c r="B102" s="60" t="s">
        <v>220</v>
      </c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5"/>
      <c r="AI102" s="85"/>
      <c r="AJ102" s="85"/>
    </row>
    <row r="103" spans="2:36" x14ac:dyDescent="0.25">
      <c r="B103" s="37" t="s">
        <v>218</v>
      </c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100">
        <f>'Raw Input'!B53</f>
        <v>88242.620999999999</v>
      </c>
      <c r="T103" s="100">
        <f>'Raw Input'!C53</f>
        <v>88813.607000000004</v>
      </c>
      <c r="U103" s="100">
        <f>'Raw Input'!D53</f>
        <v>88491.744999999995</v>
      </c>
      <c r="V103" s="100">
        <f>'Raw Input'!E53</f>
        <v>86508.194000000003</v>
      </c>
      <c r="W103" s="100">
        <f>'Raw Input'!F53</f>
        <v>87664.093999999997</v>
      </c>
      <c r="X103" s="100">
        <f>'Raw Input'!G53</f>
        <v>87862.531000000003</v>
      </c>
      <c r="Y103" s="100">
        <f>'Raw Input'!H53</f>
        <v>89937.524999999994</v>
      </c>
      <c r="Z103" s="100">
        <f>'Raw Input'!I53</f>
        <v>94424.047999999995</v>
      </c>
      <c r="AA103" s="100">
        <f>'Raw Input'!J53</f>
        <v>95066.657000000007</v>
      </c>
      <c r="AB103" s="100">
        <f>'Raw Input'!K53</f>
        <v>95218.119000000006</v>
      </c>
      <c r="AC103" s="100">
        <f>'Raw Input'!L53</f>
        <v>93679.903999999995</v>
      </c>
      <c r="AD103" s="100">
        <f>'Raw Input'!M53</f>
        <v>95976.063999999998</v>
      </c>
      <c r="AE103" s="100">
        <f>'Raw Input'!N53</f>
        <v>96690.12</v>
      </c>
      <c r="AF103" s="82"/>
      <c r="AG103" s="82"/>
      <c r="AH103" s="85"/>
      <c r="AI103" s="85"/>
      <c r="AJ103" s="85"/>
    </row>
    <row r="104" spans="2:36" x14ac:dyDescent="0.25">
      <c r="B104" s="37" t="s">
        <v>219</v>
      </c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100">
        <f>'Raw Input'!B54</f>
        <v>93273.978000000003</v>
      </c>
      <c r="T104" s="100">
        <f>'Raw Input'!C54</f>
        <v>95464.396999999997</v>
      </c>
      <c r="U104" s="100">
        <f>'Raw Input'!D54</f>
        <v>96006.634999999995</v>
      </c>
      <c r="V104" s="100">
        <f>'Raw Input'!E54</f>
        <v>102150.088</v>
      </c>
      <c r="W104" s="100">
        <f>'Raw Input'!F54</f>
        <v>99147.327999999994</v>
      </c>
      <c r="X104" s="100">
        <f>'Raw Input'!G54</f>
        <v>97830.538</v>
      </c>
      <c r="Y104" s="100">
        <f>'Raw Input'!H54</f>
        <v>97920.497000000003</v>
      </c>
      <c r="Z104" s="100">
        <f>'Raw Input'!I54</f>
        <v>100457.519</v>
      </c>
      <c r="AA104" s="100">
        <f>'Raw Input'!J54</f>
        <v>101178.62</v>
      </c>
      <c r="AB104" s="100">
        <f>'Raw Input'!K54</f>
        <v>100968.859</v>
      </c>
      <c r="AC104" s="100">
        <f>'Raw Input'!L54</f>
        <v>99232.918999999994</v>
      </c>
      <c r="AD104" s="100">
        <f>'Raw Input'!M54</f>
        <v>99292.985000000001</v>
      </c>
      <c r="AE104" s="100">
        <f>'Raw Input'!N54</f>
        <v>100456.94500000001</v>
      </c>
      <c r="AF104" s="82"/>
      <c r="AG104" s="82"/>
      <c r="AH104" s="85"/>
      <c r="AI104" s="85"/>
      <c r="AJ104" s="85"/>
    </row>
    <row r="105" spans="2:36" x14ac:dyDescent="0.25"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5"/>
      <c r="AI105" s="85"/>
      <c r="AJ105" s="85"/>
    </row>
    <row r="106" spans="2:36" x14ac:dyDescent="0.25"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5"/>
      <c r="AI106" s="85"/>
      <c r="AJ106" s="85"/>
    </row>
    <row r="107" spans="2:36" x14ac:dyDescent="0.25"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100"/>
      <c r="AD107" s="82"/>
      <c r="AE107" s="82"/>
      <c r="AF107" s="82"/>
      <c r="AG107" s="82"/>
      <c r="AH107" s="85"/>
      <c r="AI107" s="85"/>
      <c r="AJ107" s="85"/>
    </row>
    <row r="108" spans="2:36" x14ac:dyDescent="0.25"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100"/>
      <c r="AD108" s="82"/>
      <c r="AE108" s="82"/>
      <c r="AF108" s="82"/>
      <c r="AG108" s="82"/>
      <c r="AH108" s="85"/>
      <c r="AI108" s="85"/>
      <c r="AJ108" s="85"/>
    </row>
    <row r="109" spans="2:36" x14ac:dyDescent="0.25">
      <c r="B109" s="68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5"/>
      <c r="AI109" s="85"/>
      <c r="AJ109" s="85"/>
    </row>
    <row r="110" spans="2:36" x14ac:dyDescent="0.25">
      <c r="B110" s="68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5"/>
      <c r="AI110" s="85"/>
      <c r="AJ110" s="85"/>
    </row>
    <row r="111" spans="2:36" x14ac:dyDescent="0.25">
      <c r="B111" s="68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5"/>
      <c r="AI111" s="85"/>
      <c r="AJ111" s="85"/>
    </row>
    <row r="112" spans="2:36" x14ac:dyDescent="0.25">
      <c r="B112" s="70" t="s">
        <v>221</v>
      </c>
      <c r="C112" s="71"/>
      <c r="D112" s="71"/>
      <c r="E112" s="71"/>
      <c r="F112" s="71"/>
      <c r="G112" s="71"/>
      <c r="H112" s="7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2"/>
      <c r="AI112" s="122"/>
      <c r="AJ112" s="122"/>
    </row>
    <row r="113" spans="2:36" x14ac:dyDescent="0.25">
      <c r="B113" s="60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5"/>
      <c r="AI113" s="85"/>
      <c r="AJ113" s="85"/>
    </row>
    <row r="114" spans="2:36" x14ac:dyDescent="0.25">
      <c r="B114" s="60" t="str">
        <f>'Raw Input'!A62</f>
        <v>Changes in working capital:</v>
      </c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5"/>
      <c r="AI114" s="85"/>
      <c r="AJ114" s="85"/>
    </row>
    <row r="115" spans="2:36" x14ac:dyDescent="0.25">
      <c r="B115" s="37" t="str">
        <f>'Raw Input'!A63</f>
        <v>Trade and other receivables</v>
      </c>
      <c r="I115" s="82"/>
      <c r="J115" s="82"/>
      <c r="K115" s="82"/>
      <c r="L115" s="82"/>
      <c r="M115" s="82"/>
      <c r="N115" s="82"/>
      <c r="O115" s="82">
        <f>'Raw Input'!C63</f>
        <v>-30343</v>
      </c>
      <c r="P115" s="82">
        <f>'Raw Input'!D63</f>
        <v>26161</v>
      </c>
      <c r="Q115" s="82">
        <f>'Raw Input'!E63</f>
        <v>-7066</v>
      </c>
      <c r="R115" s="82">
        <f>'Raw Input'!F63</f>
        <v>18706</v>
      </c>
      <c r="S115" s="82">
        <f>'Raw Input'!G63</f>
        <v>-46272</v>
      </c>
      <c r="T115" s="82">
        <f>'Raw Input'!H63</f>
        <v>-4818</v>
      </c>
      <c r="U115" s="82">
        <f>'Raw Input'!I63</f>
        <v>-11020</v>
      </c>
      <c r="V115" s="82">
        <f>'Raw Input'!J63</f>
        <v>-34520</v>
      </c>
      <c r="W115" s="82">
        <f>'Raw Input'!K63</f>
        <v>17038</v>
      </c>
      <c r="X115" s="82">
        <f>'Raw Input'!L63</f>
        <v>-46272</v>
      </c>
      <c r="Y115" s="82">
        <f>'Raw Input'!M63</f>
        <v>-12854</v>
      </c>
      <c r="Z115" s="82">
        <f>'Raw Input'!N63</f>
        <v>-12840</v>
      </c>
      <c r="AA115" s="82">
        <f>'Raw Input'!O63</f>
        <v>-91026</v>
      </c>
      <c r="AB115" s="82">
        <f>'Raw Input'!P63</f>
        <v>35460</v>
      </c>
      <c r="AC115" s="82">
        <f>'Raw Input'!Q63</f>
        <v>-81260</v>
      </c>
      <c r="AD115" s="82">
        <f>'Raw Input'!R63</f>
        <v>-116534</v>
      </c>
      <c r="AE115" s="82">
        <f>'Raw Input'!S63</f>
        <v>-19796</v>
      </c>
      <c r="AF115" s="82"/>
      <c r="AG115" s="82"/>
      <c r="AH115" s="85"/>
      <c r="AI115" s="85"/>
      <c r="AJ115" s="85"/>
    </row>
    <row r="116" spans="2:36" x14ac:dyDescent="0.25">
      <c r="B116" s="37" t="str">
        <f>'Raw Input'!A64</f>
        <v>Inventories</v>
      </c>
      <c r="I116" s="82"/>
      <c r="J116" s="82"/>
      <c r="K116" s="82"/>
      <c r="L116" s="82"/>
      <c r="M116" s="82"/>
      <c r="N116" s="82"/>
      <c r="O116" s="82">
        <f>'Raw Input'!C64</f>
        <v>3105</v>
      </c>
      <c r="P116" s="82">
        <f>'Raw Input'!D64</f>
        <v>-1761</v>
      </c>
      <c r="Q116" s="82">
        <f>'Raw Input'!E64</f>
        <v>-1797</v>
      </c>
      <c r="R116" s="82">
        <f>'Raw Input'!F64</f>
        <v>1362</v>
      </c>
      <c r="S116" s="82">
        <f>'Raw Input'!G64</f>
        <v>909</v>
      </c>
      <c r="T116" s="82">
        <f>'Raw Input'!H64</f>
        <v>-2655</v>
      </c>
      <c r="U116" s="82">
        <f>'Raw Input'!I64</f>
        <v>3306</v>
      </c>
      <c r="V116" s="82">
        <f>'Raw Input'!J64</f>
        <v>4571</v>
      </c>
      <c r="W116" s="82">
        <f>'Raw Input'!K64</f>
        <v>-4722</v>
      </c>
      <c r="X116" s="82">
        <f>'Raw Input'!L64</f>
        <v>500</v>
      </c>
      <c r="Y116" s="82">
        <f>'Raw Input'!M64</f>
        <v>4722</v>
      </c>
      <c r="Z116" s="82">
        <f>'Raw Input'!N64</f>
        <v>-2130</v>
      </c>
      <c r="AA116" s="82">
        <f>'Raw Input'!O64</f>
        <v>1209</v>
      </c>
      <c r="AB116" s="82">
        <f>'Raw Input'!P64</f>
        <v>-1743</v>
      </c>
      <c r="AC116" s="82">
        <f>'Raw Input'!Q64</f>
        <v>2058</v>
      </c>
      <c r="AD116" s="82">
        <f>'Raw Input'!R64</f>
        <v>-1209</v>
      </c>
      <c r="AE116" s="82">
        <f>'Raw Input'!S64</f>
        <v>-3921</v>
      </c>
      <c r="AF116" s="82"/>
      <c r="AG116" s="82"/>
      <c r="AH116" s="85"/>
      <c r="AI116" s="85"/>
      <c r="AJ116" s="85"/>
    </row>
    <row r="117" spans="2:36" x14ac:dyDescent="0.25">
      <c r="B117" s="37" t="str">
        <f>'Raw Input'!A65</f>
        <v>Trade and other payables</v>
      </c>
      <c r="I117" s="82"/>
      <c r="J117" s="82"/>
      <c r="K117" s="82"/>
      <c r="L117" s="82"/>
      <c r="M117" s="82"/>
      <c r="N117" s="82"/>
      <c r="O117" s="82">
        <f>'Raw Input'!C65</f>
        <v>7736</v>
      </c>
      <c r="P117" s="82">
        <f>'Raw Input'!D65</f>
        <v>3197</v>
      </c>
      <c r="Q117" s="82">
        <f>'Raw Input'!E65</f>
        <v>7804</v>
      </c>
      <c r="R117" s="82">
        <f>'Raw Input'!F65</f>
        <v>-2528</v>
      </c>
      <c r="S117" s="82">
        <f>'Raw Input'!G65</f>
        <v>16209</v>
      </c>
      <c r="T117" s="82">
        <f>'Raw Input'!H65</f>
        <v>2551</v>
      </c>
      <c r="U117" s="82">
        <f>'Raw Input'!I65</f>
        <v>5422</v>
      </c>
      <c r="V117" s="82">
        <f>'Raw Input'!J65</f>
        <v>13232</v>
      </c>
      <c r="W117" s="82">
        <f>'Raw Input'!K65</f>
        <v>18978</v>
      </c>
      <c r="X117" s="82">
        <f>'Raw Input'!L65</f>
        <v>40183</v>
      </c>
      <c r="Y117" s="82">
        <f>'Raw Input'!M65</f>
        <v>4082</v>
      </c>
      <c r="Z117" s="82">
        <f>'Raw Input'!N65</f>
        <v>3975</v>
      </c>
      <c r="AA117" s="82">
        <f>'Raw Input'!O65</f>
        <v>24580</v>
      </c>
      <c r="AB117" s="82">
        <f>'Raw Input'!P65</f>
        <v>28593</v>
      </c>
      <c r="AC117" s="82">
        <f>'Raw Input'!Q65</f>
        <v>61230</v>
      </c>
      <c r="AD117" s="82">
        <f>'Raw Input'!R65</f>
        <v>-3854</v>
      </c>
      <c r="AE117" s="82">
        <f>'Raw Input'!S65</f>
        <v>16459</v>
      </c>
      <c r="AF117" s="82"/>
      <c r="AG117" s="82"/>
      <c r="AH117" s="85"/>
      <c r="AI117" s="85"/>
      <c r="AJ117" s="85"/>
    </row>
    <row r="118" spans="2:36" x14ac:dyDescent="0.25">
      <c r="B118" s="37" t="str">
        <f>'Raw Input'!A66</f>
        <v>Payments of employee benefits</v>
      </c>
      <c r="I118" s="82"/>
      <c r="J118" s="82"/>
      <c r="K118" s="82"/>
      <c r="L118" s="82"/>
      <c r="M118" s="82"/>
      <c r="N118" s="82"/>
      <c r="O118" s="82">
        <f>'Raw Input'!C66</f>
        <v>-212</v>
      </c>
      <c r="P118" s="82">
        <f>'Raw Input'!D66</f>
        <v>-68</v>
      </c>
      <c r="Q118" s="82">
        <f>'Raw Input'!E66</f>
        <v>-55</v>
      </c>
      <c r="R118" s="82">
        <f>'Raw Input'!F66</f>
        <v>-64</v>
      </c>
      <c r="S118" s="82">
        <f>'Raw Input'!G66</f>
        <v>-399</v>
      </c>
      <c r="T118" s="82">
        <f>'Raw Input'!H66</f>
        <v>-57</v>
      </c>
      <c r="U118" s="82">
        <f>'Raw Input'!I66</f>
        <v>-56</v>
      </c>
      <c r="V118" s="82">
        <f>'Raw Input'!J66</f>
        <v>-73</v>
      </c>
      <c r="W118" s="82">
        <f>'Raw Input'!K66</f>
        <v>-68</v>
      </c>
      <c r="X118" s="82">
        <f>'Raw Input'!L66</f>
        <v>-254</v>
      </c>
      <c r="Y118" s="82">
        <f>'Raw Input'!M66</f>
        <v>-75</v>
      </c>
      <c r="Z118" s="82">
        <f>'Raw Input'!N66</f>
        <v>-64</v>
      </c>
      <c r="AA118" s="82">
        <f>'Raw Input'!O66</f>
        <v>-70</v>
      </c>
      <c r="AB118" s="82">
        <f>'Raw Input'!P66</f>
        <v>-74</v>
      </c>
      <c r="AC118" s="82">
        <f>'Raw Input'!Q66</f>
        <v>-283</v>
      </c>
      <c r="AD118" s="82">
        <f>'Raw Input'!R66</f>
        <v>-57</v>
      </c>
      <c r="AE118" s="82">
        <f>'Raw Input'!S66</f>
        <v>-110</v>
      </c>
      <c r="AF118" s="82"/>
      <c r="AG118" s="82"/>
      <c r="AH118" s="85"/>
      <c r="AI118" s="85"/>
      <c r="AJ118" s="85"/>
    </row>
    <row r="119" spans="2:36" x14ac:dyDescent="0.25">
      <c r="B119" s="37" t="str">
        <f>'Raw Input'!A67</f>
        <v>Salaries and payroll taxes</v>
      </c>
      <c r="I119" s="82"/>
      <c r="J119" s="82"/>
      <c r="K119" s="82"/>
      <c r="L119" s="82"/>
      <c r="M119" s="82"/>
      <c r="N119" s="82"/>
      <c r="O119" s="82">
        <f>'Raw Input'!C67</f>
        <v>-5722</v>
      </c>
      <c r="P119" s="82">
        <f>'Raw Input'!D67</f>
        <v>1529</v>
      </c>
      <c r="Q119" s="82">
        <f>'Raw Input'!E67</f>
        <v>3642</v>
      </c>
      <c r="R119" s="82">
        <f>'Raw Input'!F67</f>
        <v>4480</v>
      </c>
      <c r="S119" s="82">
        <f>'Raw Input'!G67</f>
        <v>3929</v>
      </c>
      <c r="T119" s="82">
        <f>'Raw Input'!H67</f>
        <v>-11031</v>
      </c>
      <c r="U119" s="82">
        <f>'Raw Input'!I67</f>
        <v>1967</v>
      </c>
      <c r="V119" s="82">
        <f>'Raw Input'!J67</f>
        <v>6652</v>
      </c>
      <c r="W119" s="82">
        <f>'Raw Input'!K67</f>
        <v>5289</v>
      </c>
      <c r="X119" s="82">
        <f>'Raw Input'!L67</f>
        <v>2877</v>
      </c>
      <c r="Y119" s="82">
        <f>'Raw Input'!M67</f>
        <v>-25892</v>
      </c>
      <c r="Z119" s="82">
        <f>'Raw Input'!N67</f>
        <v>-3674</v>
      </c>
      <c r="AA119" s="82">
        <f>'Raw Input'!O67</f>
        <v>3378</v>
      </c>
      <c r="AB119" s="82">
        <f>'Raw Input'!P67</f>
        <v>-253</v>
      </c>
      <c r="AC119" s="82">
        <f>'Raw Input'!Q67</f>
        <v>-26441</v>
      </c>
      <c r="AD119" s="82">
        <f>'Raw Input'!R67</f>
        <v>-34899</v>
      </c>
      <c r="AE119" s="82">
        <f>'Raw Input'!S67</f>
        <v>3001</v>
      </c>
      <c r="AF119" s="82"/>
      <c r="AG119" s="82"/>
      <c r="AH119" s="85"/>
      <c r="AI119" s="85"/>
      <c r="AJ119" s="85"/>
    </row>
    <row r="120" spans="2:36" x14ac:dyDescent="0.25">
      <c r="B120" s="37" t="str">
        <f>'Raw Input'!A68</f>
        <v>Other taxes and royalties</v>
      </c>
      <c r="I120" s="82"/>
      <c r="J120" s="82"/>
      <c r="K120" s="82"/>
      <c r="L120" s="82"/>
      <c r="M120" s="82"/>
      <c r="N120" s="82"/>
      <c r="O120" s="82">
        <f>'Raw Input'!C68</f>
        <v>3273</v>
      </c>
      <c r="P120" s="82">
        <f>'Raw Input'!D68</f>
        <v>-11483</v>
      </c>
      <c r="Q120" s="82">
        <f>'Raw Input'!E68</f>
        <v>-1027</v>
      </c>
      <c r="R120" s="82">
        <f>'Raw Input'!F68</f>
        <v>1926</v>
      </c>
      <c r="S120" s="82">
        <f>'Raw Input'!G68</f>
        <v>-7311</v>
      </c>
      <c r="T120" s="82">
        <f>'Raw Input'!H68</f>
        <v>3731</v>
      </c>
      <c r="U120" s="82">
        <f>'Raw Input'!I68</f>
        <v>885</v>
      </c>
      <c r="V120" s="82">
        <f>'Raw Input'!J68</f>
        <v>2929</v>
      </c>
      <c r="W120" s="82">
        <f>'Raw Input'!K68</f>
        <v>-15569</v>
      </c>
      <c r="X120" s="82">
        <f>'Raw Input'!L68</f>
        <v>-8024</v>
      </c>
      <c r="Y120" s="82">
        <f>'Raw Input'!M68</f>
        <v>-12018</v>
      </c>
      <c r="Z120" s="82">
        <f>'Raw Input'!N68</f>
        <v>-19049</v>
      </c>
      <c r="AA120" s="82">
        <f>'Raw Input'!O68</f>
        <v>-9767</v>
      </c>
      <c r="AB120" s="82">
        <f>'Raw Input'!P68</f>
        <v>-2673</v>
      </c>
      <c r="AC120" s="82">
        <f>'Raw Input'!Q68</f>
        <v>-43507</v>
      </c>
      <c r="AD120" s="82">
        <f>'Raw Input'!R68</f>
        <v>-8747</v>
      </c>
      <c r="AE120" s="82">
        <f>'Raw Input'!S68</f>
        <v>-5068</v>
      </c>
      <c r="AF120" s="82"/>
      <c r="AG120" s="82"/>
      <c r="AH120" s="85"/>
      <c r="AI120" s="85"/>
      <c r="AJ120" s="85"/>
    </row>
    <row r="121" spans="2:36" x14ac:dyDescent="0.25">
      <c r="B121" s="37" t="str">
        <f>'Raw Input'!A69</f>
        <v>Provisions</v>
      </c>
      <c r="I121" s="82"/>
      <c r="J121" s="82"/>
      <c r="K121" s="82"/>
      <c r="L121" s="82"/>
      <c r="M121" s="82"/>
      <c r="N121" s="82"/>
      <c r="O121" s="82">
        <f>'Raw Input'!C69</f>
        <v>-114</v>
      </c>
      <c r="P121" s="82">
        <f>'Raw Input'!D69</f>
        <v>-689</v>
      </c>
      <c r="Q121" s="82">
        <f>'Raw Input'!E69</f>
        <v>386</v>
      </c>
      <c r="R121" s="82">
        <f>'Raw Input'!F69</f>
        <v>-1501</v>
      </c>
      <c r="S121" s="82">
        <f>'Raw Input'!G69</f>
        <v>-1918</v>
      </c>
      <c r="T121" s="82">
        <f>'Raw Input'!H69</f>
        <v>-741</v>
      </c>
      <c r="U121" s="82">
        <f>'Raw Input'!I69</f>
        <v>-325</v>
      </c>
      <c r="V121" s="82">
        <f>'Raw Input'!J69</f>
        <v>-689</v>
      </c>
      <c r="W121" s="82">
        <f>'Raw Input'!K69</f>
        <v>-510</v>
      </c>
      <c r="X121" s="82">
        <f>'Raw Input'!L69</f>
        <v>-2265</v>
      </c>
      <c r="Y121" s="82">
        <f>'Raw Input'!M69</f>
        <v>-529</v>
      </c>
      <c r="Z121" s="82">
        <f>'Raw Input'!N69</f>
        <v>-361</v>
      </c>
      <c r="AA121" s="82">
        <f>'Raw Input'!O69</f>
        <v>-380</v>
      </c>
      <c r="AB121" s="82">
        <f>'Raw Input'!P69</f>
        <v>-89</v>
      </c>
      <c r="AC121" s="82">
        <f>'Raw Input'!Q69</f>
        <v>-1359</v>
      </c>
      <c r="AD121" s="82">
        <f>'Raw Input'!R69</f>
        <v>-94</v>
      </c>
      <c r="AE121" s="82">
        <f>'Raw Input'!S69</f>
        <v>-747</v>
      </c>
      <c r="AF121" s="82"/>
      <c r="AG121" s="82"/>
      <c r="AH121" s="85"/>
      <c r="AI121" s="85"/>
      <c r="AJ121" s="85"/>
    </row>
    <row r="122" spans="2:36" x14ac:dyDescent="0.25">
      <c r="B122" s="37" t="str">
        <f>'Raw Input'!A70</f>
        <v>Income tax payment</v>
      </c>
      <c r="O122" s="82">
        <f>'Raw Input'!C70</f>
        <v>-1146</v>
      </c>
      <c r="P122" s="82">
        <f>'Raw Input'!D70</f>
        <v>-1642</v>
      </c>
      <c r="Q122" s="82">
        <f>'Raw Input'!E70</f>
        <v>-642</v>
      </c>
      <c r="R122" s="82">
        <f>'Raw Input'!F70</f>
        <v>-866</v>
      </c>
      <c r="S122" s="82">
        <f>'Raw Input'!G70</f>
        <v>-4296</v>
      </c>
      <c r="T122" s="82">
        <f>'Raw Input'!H70</f>
        <v>-3147</v>
      </c>
      <c r="U122" s="82">
        <f>'Raw Input'!I70</f>
        <v>-32826</v>
      </c>
      <c r="V122" s="82">
        <f>'Raw Input'!J70</f>
        <v>-25984</v>
      </c>
      <c r="W122" s="82">
        <f>'Raw Input'!K70</f>
        <v>-12397</v>
      </c>
      <c r="X122" s="82">
        <f>'Raw Input'!L70</f>
        <v>-74354</v>
      </c>
      <c r="Y122" s="82">
        <f>'Raw Input'!M70</f>
        <v>-1737</v>
      </c>
      <c r="Z122" s="82">
        <f>'Raw Input'!N70</f>
        <v>-36363</v>
      </c>
      <c r="AA122" s="82">
        <f>'Raw Input'!O70</f>
        <v>-22331</v>
      </c>
      <c r="AB122" s="82">
        <f>'Raw Input'!P70</f>
        <v>-6782</v>
      </c>
      <c r="AC122" s="82">
        <f>'Raw Input'!Q70</f>
        <v>-67213</v>
      </c>
      <c r="AD122" s="82">
        <f>'Raw Input'!R70</f>
        <v>-8763</v>
      </c>
      <c r="AE122" s="82">
        <f>'Raw Input'!S70</f>
        <v>-7823</v>
      </c>
      <c r="AF122" s="82"/>
      <c r="AG122" s="82"/>
      <c r="AH122" s="85"/>
      <c r="AI122" s="85"/>
      <c r="AJ122" s="85"/>
    </row>
    <row r="123" spans="2:36" x14ac:dyDescent="0.25">
      <c r="B123" s="60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5"/>
      <c r="AI123" s="85"/>
      <c r="AJ123" s="85"/>
    </row>
    <row r="124" spans="2:36" x14ac:dyDescent="0.25">
      <c r="B124" s="60" t="str">
        <f>'Raw Input'!A72</f>
        <v>Cash flows from investing activities:</v>
      </c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5"/>
      <c r="AI124" s="85"/>
      <c r="AJ124" s="85"/>
    </row>
    <row r="125" spans="2:36" x14ac:dyDescent="0.25">
      <c r="B125" s="37" t="str">
        <f>'Raw Input'!A73</f>
        <v>Payments for acquisitions of property, plant and equipment</v>
      </c>
      <c r="O125" s="82">
        <f>'Raw Input'!C73</f>
        <v>-79856</v>
      </c>
      <c r="P125" s="82">
        <f>'Raw Input'!D73</f>
        <v>-84898</v>
      </c>
      <c r="Q125" s="82">
        <f>'Raw Input'!E73</f>
        <v>-76876</v>
      </c>
      <c r="R125" s="82">
        <f>'Raw Input'!F73</f>
        <v>-79656</v>
      </c>
      <c r="S125" s="82">
        <f>'Raw Input'!G73</f>
        <v>-321286</v>
      </c>
      <c r="T125" s="82">
        <f>'Raw Input'!H73</f>
        <v>-78190</v>
      </c>
      <c r="U125" s="82">
        <f>'Raw Input'!I73</f>
        <v>-99766</v>
      </c>
      <c r="V125" s="82">
        <f>'Raw Input'!J73</f>
        <v>-152792</v>
      </c>
      <c r="W125" s="82">
        <f>'Raw Input'!K73</f>
        <v>-148277</v>
      </c>
      <c r="X125" s="82">
        <f>'Raw Input'!L73</f>
        <v>-479025</v>
      </c>
      <c r="Y125" s="82">
        <f>'Raw Input'!M73</f>
        <v>-132948</v>
      </c>
      <c r="Z125" s="82">
        <f>'Raw Input'!N73</f>
        <v>-161803</v>
      </c>
      <c r="AA125" s="82">
        <f>'Raw Input'!O73</f>
        <v>-162762</v>
      </c>
      <c r="AB125" s="82">
        <f>'Raw Input'!P73</f>
        <v>-228910</v>
      </c>
      <c r="AC125" s="82">
        <f>'Raw Input'!Q73</f>
        <v>-688437</v>
      </c>
      <c r="AD125" s="82">
        <f>'Raw Input'!R73</f>
        <v>-147654</v>
      </c>
      <c r="AE125" s="82">
        <f>'Raw Input'!S73</f>
        <v>-271936</v>
      </c>
      <c r="AF125" s="82"/>
      <c r="AG125" s="82"/>
      <c r="AH125" s="85"/>
      <c r="AI125" s="85"/>
      <c r="AJ125" s="85"/>
    </row>
    <row r="126" spans="2:36" x14ac:dyDescent="0.25">
      <c r="B126" s="60"/>
      <c r="AD126" s="82"/>
      <c r="AE126" s="82"/>
      <c r="AF126" s="82"/>
      <c r="AG126" s="82"/>
      <c r="AH126" s="85"/>
      <c r="AI126" s="85"/>
      <c r="AJ126" s="85"/>
    </row>
    <row r="127" spans="2:36" x14ac:dyDescent="0.25">
      <c r="B127" s="60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5"/>
      <c r="AI127" s="85"/>
      <c r="AJ127" s="85"/>
    </row>
    <row r="128" spans="2:36" x14ac:dyDescent="0.25">
      <c r="B128" s="7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5"/>
      <c r="AI128" s="85"/>
      <c r="AJ128" s="85"/>
    </row>
    <row r="129" spans="2:36" x14ac:dyDescent="0.25">
      <c r="B129" s="128" t="s">
        <v>232</v>
      </c>
      <c r="I129" s="82"/>
      <c r="J129" s="82"/>
      <c r="K129" s="82"/>
      <c r="L129" s="82"/>
      <c r="M129" s="82"/>
      <c r="N129" s="82"/>
      <c r="O129" s="82">
        <f>(O115+O116)-(O117+O118+O119+O120+O121+O122)</f>
        <v>-31053</v>
      </c>
      <c r="P129" s="82">
        <f t="shared" ref="P129:AE129" si="166">(P115+P116)-(P117+P118+P119+P120+P121+P122)</f>
        <v>33556</v>
      </c>
      <c r="Q129" s="82">
        <f t="shared" si="166"/>
        <v>-18971</v>
      </c>
      <c r="R129" s="82">
        <f t="shared" si="166"/>
        <v>18621</v>
      </c>
      <c r="S129" s="82">
        <f>(S115+S116)-(S117+S118+S119+S120+S121+S122)</f>
        <v>-51577</v>
      </c>
      <c r="T129" s="82">
        <f t="shared" si="166"/>
        <v>1221</v>
      </c>
      <c r="U129" s="82">
        <f t="shared" si="166"/>
        <v>17219</v>
      </c>
      <c r="V129" s="82">
        <f t="shared" si="166"/>
        <v>-26016</v>
      </c>
      <c r="W129" s="82">
        <f t="shared" si="166"/>
        <v>16593</v>
      </c>
      <c r="X129" s="82">
        <f t="shared" si="166"/>
        <v>-3935</v>
      </c>
      <c r="Y129" s="82">
        <f t="shared" si="166"/>
        <v>28037</v>
      </c>
      <c r="Z129" s="82">
        <f t="shared" si="166"/>
        <v>40566</v>
      </c>
      <c r="AA129" s="82">
        <f t="shared" si="166"/>
        <v>-85227</v>
      </c>
      <c r="AB129" s="82">
        <f t="shared" si="166"/>
        <v>14995</v>
      </c>
      <c r="AC129" s="82">
        <f t="shared" si="166"/>
        <v>-1629</v>
      </c>
      <c r="AD129" s="82">
        <f t="shared" si="166"/>
        <v>-61329</v>
      </c>
      <c r="AE129" s="82">
        <f t="shared" si="166"/>
        <v>-29429</v>
      </c>
      <c r="AF129" s="82"/>
      <c r="AG129" s="82"/>
      <c r="AH129" s="85"/>
      <c r="AI129" s="85"/>
      <c r="AJ129" s="85"/>
    </row>
    <row r="130" spans="2:36" x14ac:dyDescent="0.25">
      <c r="B130" s="130" t="s">
        <v>233</v>
      </c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289">
        <f>ABS(S129/S$13)</f>
        <v>7.752325983376171E-2</v>
      </c>
      <c r="T130" s="289">
        <f t="shared" ref="T130" si="167">ABS(T129/T$13)</f>
        <v>5.8724509426702574E-3</v>
      </c>
      <c r="U130" s="289">
        <f t="shared" ref="U130" si="168">ABS(U129/U$13)</f>
        <v>5.8509716507018514E-2</v>
      </c>
      <c r="V130" s="289">
        <f t="shared" ref="V130" si="169">ABS(V129/V$13)</f>
        <v>7.8008527684991391E-2</v>
      </c>
      <c r="W130" s="289">
        <f t="shared" ref="W130" si="170">ABS(W129/W$13)</f>
        <v>5.1805205185203686E-2</v>
      </c>
      <c r="X130" s="289">
        <f>ABS(X129/X$13)</f>
        <v>3.3132377953286295E-3</v>
      </c>
      <c r="Y130" s="289">
        <f t="shared" ref="Y130" si="171">ABS(Y129/Y$13)</f>
        <v>8.8391815631009799E-2</v>
      </c>
      <c r="Z130" s="289">
        <f t="shared" ref="Z130" si="172">ABS(Z129/Z$13)</f>
        <v>0.16928739546296759</v>
      </c>
      <c r="AA130" s="289">
        <f t="shared" ref="AA130" si="173">ABS(AA129/AA$13)</f>
        <v>0.29420475963629583</v>
      </c>
      <c r="AB130" s="289">
        <f t="shared" ref="AB130" si="174">ABS(AB129/AB$13)</f>
        <v>4.8496746400341531E-2</v>
      </c>
      <c r="AC130" s="289">
        <f>ABS(AC129/AC$13)</f>
        <v>1.3937681707498627E-3</v>
      </c>
      <c r="AD130" s="302">
        <f>AD129/(AD13-AB13)</f>
        <v>-7.519494850416871</v>
      </c>
      <c r="AE130" s="302">
        <f>AE129/(AE13-AD13)</f>
        <v>-0.37081511535602235</v>
      </c>
      <c r="AF130" s="82"/>
      <c r="AG130" s="82"/>
      <c r="AH130" s="289"/>
      <c r="AI130" s="289"/>
      <c r="AJ130" s="289"/>
    </row>
    <row r="131" spans="2:36" x14ac:dyDescent="0.25"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5"/>
      <c r="AI131" s="85"/>
      <c r="AJ131" s="85"/>
    </row>
    <row r="132" spans="2:36" x14ac:dyDescent="0.25">
      <c r="B132" s="132" t="s">
        <v>234</v>
      </c>
      <c r="I132" s="82"/>
      <c r="J132" s="82"/>
      <c r="K132" s="82"/>
      <c r="L132" s="82"/>
      <c r="M132" s="82"/>
      <c r="N132" s="82"/>
      <c r="O132" s="82">
        <f>O125</f>
        <v>-79856</v>
      </c>
      <c r="P132" s="82">
        <f t="shared" ref="P132:AE132" si="175">P125</f>
        <v>-84898</v>
      </c>
      <c r="Q132" s="82">
        <f t="shared" si="175"/>
        <v>-76876</v>
      </c>
      <c r="R132" s="82">
        <f t="shared" si="175"/>
        <v>-79656</v>
      </c>
      <c r="S132" s="82">
        <f t="shared" si="175"/>
        <v>-321286</v>
      </c>
      <c r="T132" s="82">
        <f t="shared" si="175"/>
        <v>-78190</v>
      </c>
      <c r="U132" s="82">
        <f t="shared" si="175"/>
        <v>-99766</v>
      </c>
      <c r="V132" s="82">
        <f t="shared" si="175"/>
        <v>-152792</v>
      </c>
      <c r="W132" s="82">
        <f t="shared" si="175"/>
        <v>-148277</v>
      </c>
      <c r="X132" s="82">
        <f t="shared" si="175"/>
        <v>-479025</v>
      </c>
      <c r="Y132" s="82">
        <f t="shared" si="175"/>
        <v>-132948</v>
      </c>
      <c r="Z132" s="82">
        <f t="shared" si="175"/>
        <v>-161803</v>
      </c>
      <c r="AA132" s="82">
        <f t="shared" si="175"/>
        <v>-162762</v>
      </c>
      <c r="AB132" s="82">
        <f t="shared" si="175"/>
        <v>-228910</v>
      </c>
      <c r="AC132" s="82">
        <f t="shared" si="175"/>
        <v>-688437</v>
      </c>
      <c r="AD132" s="82">
        <f t="shared" si="175"/>
        <v>-147654</v>
      </c>
      <c r="AE132" s="82">
        <f t="shared" si="175"/>
        <v>-271936</v>
      </c>
      <c r="AH132" s="85"/>
      <c r="AI132" s="85"/>
      <c r="AJ132" s="85"/>
    </row>
    <row r="133" spans="2:36" x14ac:dyDescent="0.25">
      <c r="B133" s="130" t="s">
        <v>225</v>
      </c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289">
        <f>ABS(S132/S$13)</f>
        <v>0.48291172536110988</v>
      </c>
      <c r="T133" s="289">
        <f t="shared" ref="T133:AE133" si="176">ABS(T132/T$13)</f>
        <v>0.37605809926894962</v>
      </c>
      <c r="U133" s="289">
        <f t="shared" si="176"/>
        <v>0.33900228683658801</v>
      </c>
      <c r="V133" s="289">
        <f t="shared" si="176"/>
        <v>0.458144179045403</v>
      </c>
      <c r="W133" s="289">
        <f t="shared" si="176"/>
        <v>0.46293740789769461</v>
      </c>
      <c r="X133" s="289">
        <f t="shared" si="176"/>
        <v>0.40333512958254047</v>
      </c>
      <c r="Y133" s="289">
        <f t="shared" si="176"/>
        <v>0.41914310034994801</v>
      </c>
      <c r="Z133" s="289">
        <f t="shared" si="176"/>
        <v>0.6752257666049043</v>
      </c>
      <c r="AA133" s="289">
        <f t="shared" si="176"/>
        <v>0.56185663097284644</v>
      </c>
      <c r="AB133" s="289">
        <f t="shared" si="176"/>
        <v>0.74033946105382997</v>
      </c>
      <c r="AC133" s="289">
        <f t="shared" si="176"/>
        <v>0.58902490986281353</v>
      </c>
      <c r="AD133" s="289">
        <f t="shared" si="176"/>
        <v>0.46526884973152838</v>
      </c>
      <c r="AE133" s="289">
        <f t="shared" si="176"/>
        <v>0.68546941759197411</v>
      </c>
      <c r="AH133" s="85"/>
      <c r="AI133" s="85"/>
      <c r="AJ133" s="85"/>
    </row>
    <row r="134" spans="2:36" x14ac:dyDescent="0.25"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 t="s">
        <v>343</v>
      </c>
      <c r="W134" s="82"/>
      <c r="X134" s="82"/>
      <c r="Y134" s="82"/>
      <c r="Z134" s="82"/>
      <c r="AA134" s="82"/>
      <c r="AB134" s="82"/>
      <c r="AC134" s="82"/>
      <c r="AH134" s="85"/>
      <c r="AI134" s="85"/>
      <c r="AJ134" s="85"/>
    </row>
    <row r="135" spans="2:36" x14ac:dyDescent="0.25"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H135" s="85"/>
      <c r="AI135" s="85"/>
      <c r="AJ135" s="85"/>
    </row>
    <row r="136" spans="2:36" x14ac:dyDescent="0.25">
      <c r="I136" s="124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H136" s="90"/>
      <c r="AI136" s="90"/>
      <c r="AJ136" s="90"/>
    </row>
    <row r="137" spans="2:36" x14ac:dyDescent="0.25">
      <c r="AH137" s="85"/>
      <c r="AI137" s="85"/>
      <c r="AJ137" s="85"/>
    </row>
    <row r="138" spans="2:36" x14ac:dyDescent="0.25">
      <c r="AH138" s="85"/>
      <c r="AI138" s="85"/>
      <c r="AJ138" s="85"/>
    </row>
    <row r="139" spans="2:36" x14ac:dyDescent="0.25">
      <c r="B139" s="60"/>
      <c r="I139" s="125"/>
      <c r="J139" s="125"/>
      <c r="K139" s="125"/>
      <c r="L139" s="125"/>
      <c r="M139" s="125"/>
      <c r="AH139" s="85"/>
      <c r="AI139" s="85"/>
      <c r="AJ139" s="85"/>
    </row>
    <row r="140" spans="2:36" x14ac:dyDescent="0.25">
      <c r="B140" s="75"/>
      <c r="I140" s="126"/>
      <c r="J140" s="126"/>
      <c r="K140" s="126"/>
      <c r="L140" s="126"/>
      <c r="M140" s="126"/>
      <c r="AH140" s="119"/>
      <c r="AI140" s="119"/>
      <c r="AJ140" s="119"/>
    </row>
    <row r="141" spans="2:36" x14ac:dyDescent="0.25">
      <c r="I141" s="124"/>
      <c r="AH141" s="90"/>
      <c r="AI141" s="90"/>
      <c r="AJ141" s="90"/>
    </row>
    <row r="143" spans="2:36" s="60" customFormat="1" x14ac:dyDescent="0.25">
      <c r="B143" s="37"/>
      <c r="C143" s="37"/>
      <c r="D143" s="37"/>
      <c r="E143" s="37"/>
      <c r="F143" s="37"/>
      <c r="G143" s="37"/>
      <c r="H143" s="37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</row>
    <row r="146" spans="1:43" x14ac:dyDescent="0.25">
      <c r="B146" s="60"/>
    </row>
    <row r="148" spans="1:43" s="123" customFormat="1" x14ac:dyDescent="0.25">
      <c r="A148" s="37"/>
      <c r="B148" s="37"/>
      <c r="C148" s="37"/>
      <c r="D148" s="37"/>
      <c r="E148" s="37"/>
      <c r="F148" s="37"/>
      <c r="G148" s="37"/>
      <c r="H148" s="37"/>
      <c r="AK148" s="37"/>
      <c r="AL148" s="37"/>
      <c r="AM148" s="37"/>
      <c r="AN148" s="37"/>
      <c r="AO148" s="37"/>
      <c r="AP148" s="37"/>
      <c r="AQ148" s="37"/>
    </row>
    <row r="149" spans="1:43" s="123" customFormat="1" x14ac:dyDescent="0.25">
      <c r="A149" s="37"/>
      <c r="B149" s="37"/>
      <c r="C149" s="37"/>
      <c r="D149" s="37"/>
      <c r="E149" s="37"/>
      <c r="F149" s="37"/>
      <c r="G149" s="37"/>
      <c r="H149" s="37"/>
      <c r="AK149" s="37"/>
      <c r="AL149" s="37"/>
      <c r="AM149" s="37"/>
      <c r="AN149" s="37"/>
      <c r="AO149" s="37"/>
      <c r="AP149" s="37"/>
      <c r="AQ149" s="37"/>
    </row>
    <row r="153" spans="1:43" x14ac:dyDescent="0.25">
      <c r="C153" s="60"/>
      <c r="D153" s="60"/>
      <c r="E153" s="60"/>
      <c r="F153" s="60"/>
      <c r="G153" s="60"/>
      <c r="H153" s="60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</row>
    <row r="155" spans="1:43" x14ac:dyDescent="0.25">
      <c r="I155" s="129"/>
      <c r="N155" s="129"/>
      <c r="S155" s="129"/>
      <c r="X155" s="129"/>
      <c r="AC155" s="129"/>
    </row>
    <row r="156" spans="1:43" x14ac:dyDescent="0.25">
      <c r="N156" s="131"/>
      <c r="S156" s="131"/>
      <c r="X156" s="131"/>
      <c r="AC156" s="131"/>
    </row>
    <row r="158" spans="1:43" x14ac:dyDescent="0.25">
      <c r="I158" s="129"/>
      <c r="N158" s="129"/>
      <c r="S158" s="129"/>
      <c r="X158" s="129"/>
      <c r="AC158" s="129"/>
    </row>
    <row r="159" spans="1:43" x14ac:dyDescent="0.25">
      <c r="I159" s="125"/>
      <c r="N159" s="125"/>
      <c r="S159" s="125"/>
      <c r="X159" s="125"/>
      <c r="AC159" s="125"/>
    </row>
    <row r="162" spans="2:2" x14ac:dyDescent="0.25">
      <c r="B162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7698-947A-4F4E-A4AD-3264A41C5099}">
  <sheetPr>
    <tabColor rgb="FFFF0000"/>
  </sheetPr>
  <dimension ref="B2:M36"/>
  <sheetViews>
    <sheetView zoomScale="90" zoomScaleNormal="90" zoomScaleSheetLayoutView="40" workbookViewId="0">
      <selection activeCell="P39" sqref="P39"/>
    </sheetView>
  </sheetViews>
  <sheetFormatPr defaultColWidth="11.42578125" defaultRowHeight="15" x14ac:dyDescent="0.25"/>
  <cols>
    <col min="1" max="1" width="11.42578125" style="37"/>
    <col min="2" max="2" width="20" style="37" bestFit="1" customWidth="1"/>
    <col min="3" max="3" width="10.85546875" style="37" bestFit="1" customWidth="1"/>
    <col min="4" max="4" width="24.140625" style="37" bestFit="1" customWidth="1"/>
    <col min="5" max="5" width="0" style="37" hidden="1" customWidth="1"/>
    <col min="6" max="6" width="16.42578125" style="37" bestFit="1" customWidth="1"/>
    <col min="7" max="7" width="10.28515625" style="37" bestFit="1" customWidth="1"/>
    <col min="8" max="12" width="11.5703125" style="37" bestFit="1" customWidth="1"/>
    <col min="13" max="13" width="9.28515625" style="37" bestFit="1" customWidth="1"/>
    <col min="14" max="15" width="11.42578125" style="37"/>
    <col min="16" max="16" width="11.42578125" style="37" customWidth="1"/>
    <col min="17" max="17" width="11" style="37" bestFit="1" customWidth="1"/>
    <col min="18" max="18" width="12.7109375" style="37" bestFit="1" customWidth="1"/>
    <col min="19" max="19" width="11" style="37" bestFit="1" customWidth="1"/>
    <col min="20" max="16384" width="11.42578125" style="37"/>
  </cols>
  <sheetData>
    <row r="2" spans="2:13" x14ac:dyDescent="0.25">
      <c r="B2" s="61" t="s">
        <v>235</v>
      </c>
      <c r="C2" s="135" t="s">
        <v>344</v>
      </c>
      <c r="F2" s="136"/>
      <c r="G2" s="388"/>
      <c r="H2" s="388"/>
      <c r="I2" s="388"/>
      <c r="J2" s="388"/>
      <c r="K2" s="388"/>
      <c r="L2" s="388"/>
      <c r="M2" s="133"/>
    </row>
    <row r="3" spans="2:13" x14ac:dyDescent="0.25">
      <c r="B3" s="61" t="s">
        <v>243</v>
      </c>
      <c r="C3" s="135" t="s">
        <v>268</v>
      </c>
      <c r="G3" s="138">
        <v>2021</v>
      </c>
      <c r="H3" s="138">
        <f>G3+1</f>
        <v>2022</v>
      </c>
      <c r="I3" s="138">
        <f>H3+1</f>
        <v>2023</v>
      </c>
      <c r="J3" s="139" t="s">
        <v>54</v>
      </c>
      <c r="K3" s="139" t="s">
        <v>209</v>
      </c>
      <c r="L3" s="139" t="s">
        <v>210</v>
      </c>
      <c r="M3" s="140"/>
    </row>
    <row r="4" spans="2:13" x14ac:dyDescent="0.25">
      <c r="B4" s="61" t="s">
        <v>248</v>
      </c>
      <c r="C4" s="143">
        <v>45505</v>
      </c>
      <c r="F4" s="60" t="s">
        <v>237</v>
      </c>
      <c r="G4" s="144">
        <f>MOD!S13/1000</f>
        <v>665.31</v>
      </c>
      <c r="H4" s="144">
        <f>MOD!X13/1000</f>
        <v>1187.6600000000001</v>
      </c>
      <c r="I4" s="144">
        <f>MOD!AC13/1000</f>
        <v>1168.7739999999999</v>
      </c>
      <c r="J4" s="145">
        <f>MOD!AH13/1000</f>
        <v>1468.5962279310002</v>
      </c>
      <c r="K4" s="145">
        <f>MOD!AI13/1000</f>
        <v>1721.5005458979488</v>
      </c>
      <c r="L4" s="145">
        <f>MOD!AJ13/1000</f>
        <v>1978.8711972620633</v>
      </c>
      <c r="M4" s="145"/>
    </row>
    <row r="5" spans="2:13" x14ac:dyDescent="0.25">
      <c r="F5" s="68" t="s">
        <v>249</v>
      </c>
      <c r="G5" s="151"/>
      <c r="H5" s="151">
        <f>H4/G4-1</f>
        <v>0.785122724744856</v>
      </c>
      <c r="I5" s="151">
        <f>I4/H4-1</f>
        <v>-1.5901857433945898E-2</v>
      </c>
      <c r="J5" s="152">
        <f>J4/I4-1</f>
        <v>0.25652711981187148</v>
      </c>
      <c r="K5" s="152">
        <f>K4/J4-1</f>
        <v>0.17220820342378751</v>
      </c>
      <c r="L5" s="152">
        <f>L4/K4-1</f>
        <v>0.14950367107195306</v>
      </c>
      <c r="M5" s="152"/>
    </row>
    <row r="6" spans="2:13" x14ac:dyDescent="0.25">
      <c r="F6" s="68"/>
      <c r="G6" s="151"/>
      <c r="H6" s="151"/>
      <c r="I6" s="151"/>
      <c r="J6" s="152"/>
      <c r="K6" s="152"/>
      <c r="L6" s="152"/>
      <c r="M6" s="152"/>
    </row>
    <row r="7" spans="2:13" x14ac:dyDescent="0.25">
      <c r="B7" s="388" t="s">
        <v>250</v>
      </c>
      <c r="C7" s="388"/>
      <c r="F7" s="60" t="s">
        <v>230</v>
      </c>
      <c r="G7" s="153">
        <f>MOD!S93/1000</f>
        <v>401.86599999999999</v>
      </c>
      <c r="H7" s="153">
        <f>MOD!X93/1000</f>
        <v>764.00900000000001</v>
      </c>
      <c r="I7" s="153">
        <f>MOD!AC93/1000</f>
        <v>907.91700000000003</v>
      </c>
      <c r="J7" s="145">
        <f>MOD!AH93/1000</f>
        <v>1043.5414768953813</v>
      </c>
      <c r="K7" s="145">
        <f>MOD!AI93/1000</f>
        <v>1218.8622827404863</v>
      </c>
      <c r="L7" s="145">
        <f>MOD!AJ93/1000</f>
        <v>1410.9810245276403</v>
      </c>
      <c r="M7" s="145"/>
    </row>
    <row r="8" spans="2:13" x14ac:dyDescent="0.25">
      <c r="B8" s="156" t="s">
        <v>251</v>
      </c>
      <c r="C8" s="157">
        <v>39.880000000000003</v>
      </c>
      <c r="F8" s="68" t="s">
        <v>252</v>
      </c>
      <c r="G8" s="151">
        <f>G7/G4</f>
        <v>0.60402819738167168</v>
      </c>
      <c r="H8" s="151">
        <f t="shared" ref="H8:L8" si="0">H7/H4</f>
        <v>0.64328932522775872</v>
      </c>
      <c r="I8" s="151">
        <f t="shared" si="0"/>
        <v>0.77681142804340286</v>
      </c>
      <c r="J8" s="152">
        <f t="shared" si="0"/>
        <v>0.71057071851910714</v>
      </c>
      <c r="K8" s="152">
        <f t="shared" si="0"/>
        <v>0.70802317527277792</v>
      </c>
      <c r="L8" s="152">
        <f t="shared" si="0"/>
        <v>0.71302317527277803</v>
      </c>
      <c r="M8" s="152"/>
    </row>
    <row r="9" spans="2:13" x14ac:dyDescent="0.25">
      <c r="B9" s="158" t="s">
        <v>241</v>
      </c>
      <c r="C9" s="347">
        <v>114.8</v>
      </c>
      <c r="F9" s="68" t="s">
        <v>249</v>
      </c>
      <c r="G9" s="151"/>
      <c r="H9" s="151">
        <f>H7/G7-1</f>
        <v>0.90115361837030261</v>
      </c>
      <c r="I9" s="151">
        <f t="shared" ref="I9:K9" si="1">I7/H7-1</f>
        <v>0.1883590376553157</v>
      </c>
      <c r="J9" s="152">
        <f t="shared" si="1"/>
        <v>0.1493798187448645</v>
      </c>
      <c r="K9" s="152">
        <f t="shared" si="1"/>
        <v>0.16800559414916449</v>
      </c>
      <c r="L9" s="152">
        <f>L7/K7-1</f>
        <v>0.15762136913055902</v>
      </c>
      <c r="M9" s="152"/>
    </row>
    <row r="10" spans="2:13" x14ac:dyDescent="0.25">
      <c r="B10" s="156" t="s">
        <v>253</v>
      </c>
      <c r="C10" s="159">
        <f>C8*C9</f>
        <v>4578.2240000000002</v>
      </c>
      <c r="F10" s="68"/>
      <c r="G10" s="72"/>
      <c r="H10" s="151"/>
      <c r="I10" s="151"/>
      <c r="J10" s="152"/>
      <c r="K10" s="152"/>
      <c r="L10" s="152"/>
      <c r="M10" s="152"/>
    </row>
    <row r="11" spans="2:13" x14ac:dyDescent="0.25">
      <c r="B11" s="158" t="s">
        <v>254</v>
      </c>
      <c r="C11" s="348">
        <v>904.99</v>
      </c>
      <c r="F11" s="161" t="s">
        <v>255</v>
      </c>
      <c r="G11" s="162">
        <f>MOD!S99</f>
        <v>0.54300000000000004</v>
      </c>
      <c r="H11" s="162">
        <f>MOD!X99</f>
        <v>2.7549999999999999</v>
      </c>
      <c r="I11" s="162">
        <f>MOD!AC99</f>
        <v>4</v>
      </c>
      <c r="J11" s="163">
        <f>MOD!AH99</f>
        <v>4.2092557843009715</v>
      </c>
      <c r="K11" s="163">
        <f>MOD!AI99</f>
        <v>4.9878866839784566</v>
      </c>
      <c r="L11" s="164">
        <f>MOD!AJ99</f>
        <v>5.7961847085239979</v>
      </c>
      <c r="M11" s="165"/>
    </row>
    <row r="12" spans="2:13" x14ac:dyDescent="0.25">
      <c r="B12" s="158" t="s">
        <v>256</v>
      </c>
      <c r="C12" s="348">
        <v>328.24</v>
      </c>
      <c r="F12" s="166" t="s">
        <v>249</v>
      </c>
      <c r="G12" s="167"/>
      <c r="H12" s="168">
        <f>H11/G11-1</f>
        <v>4.0736648250460403</v>
      </c>
      <c r="I12" s="169">
        <f t="shared" ref="I12:J12" si="2">I11/H11-1</f>
        <v>0.4519056261343013</v>
      </c>
      <c r="J12" s="169">
        <f t="shared" si="2"/>
        <v>5.2313946075242868E-2</v>
      </c>
      <c r="K12" s="169">
        <f>K11/J11-1</f>
        <v>0.18498065681384857</v>
      </c>
      <c r="L12" s="170">
        <f>L11/K11-1</f>
        <v>0.16205220281805266</v>
      </c>
      <c r="M12" s="152"/>
    </row>
    <row r="13" spans="2:13" x14ac:dyDescent="0.25">
      <c r="B13" s="156" t="s">
        <v>257</v>
      </c>
      <c r="C13" s="159">
        <f>+C11-C12</f>
        <v>576.75</v>
      </c>
      <c r="F13" s="60" t="s">
        <v>258</v>
      </c>
      <c r="G13" s="171">
        <f>MOD!S100</f>
        <v>0.4</v>
      </c>
      <c r="H13" s="171">
        <f>MOD!X100</f>
        <v>2.8</v>
      </c>
      <c r="I13" s="171">
        <f>MOD!AC100</f>
        <v>4.17</v>
      </c>
      <c r="J13" s="171">
        <f>MOD!AH100</f>
        <v>5.41</v>
      </c>
      <c r="K13" s="171">
        <f>MOD!AI100</f>
        <v>7.17</v>
      </c>
      <c r="L13" s="171">
        <f>MOD!AJ100</f>
        <v>8.43</v>
      </c>
      <c r="M13" s="171"/>
    </row>
    <row r="14" spans="2:13" x14ac:dyDescent="0.25">
      <c r="B14" s="158" t="s">
        <v>259</v>
      </c>
      <c r="C14" s="160">
        <v>0</v>
      </c>
      <c r="F14" s="68" t="s">
        <v>249</v>
      </c>
      <c r="I14" s="136"/>
      <c r="J14" s="150">
        <f>+J13/I11-1</f>
        <v>0.35250000000000004</v>
      </c>
      <c r="K14" s="150">
        <f>+K13/J13-1</f>
        <v>0.32532347504621062</v>
      </c>
      <c r="L14" s="150">
        <f>+L13/K13-1</f>
        <v>0.17573221757322166</v>
      </c>
      <c r="M14" s="150"/>
    </row>
    <row r="15" spans="2:13" ht="15.75" thickBot="1" x14ac:dyDescent="0.3">
      <c r="B15" s="172" t="s">
        <v>239</v>
      </c>
      <c r="C15" s="173">
        <f>+C10-C12+C11+C14</f>
        <v>5154.9740000000002</v>
      </c>
      <c r="F15" s="174" t="s">
        <v>260</v>
      </c>
      <c r="G15" s="175"/>
      <c r="H15" s="175"/>
      <c r="I15" s="176"/>
      <c r="J15" s="177">
        <f>+IFERROR(J11/J13-1,"n.a.")</f>
        <v>-0.22194902323457089</v>
      </c>
      <c r="K15" s="177">
        <f t="shared" ref="K15" si="3">+IFERROR(K11/K13-1,"n.a.")</f>
        <v>-0.30433937461946214</v>
      </c>
      <c r="L15" s="178">
        <f>+IFERROR(L11/L13-1,"n.a.")</f>
        <v>-0.31243360515729557</v>
      </c>
      <c r="M15" s="179"/>
    </row>
    <row r="16" spans="2:13" x14ac:dyDescent="0.25">
      <c r="C16" s="180"/>
      <c r="F16" s="60"/>
      <c r="G16" s="181"/>
      <c r="H16" s="181"/>
      <c r="I16" s="181"/>
      <c r="J16" s="181"/>
      <c r="K16" s="181"/>
      <c r="L16" s="181"/>
      <c r="M16" s="181"/>
    </row>
    <row r="17" spans="2:13" x14ac:dyDescent="0.25">
      <c r="G17" s="182">
        <f>G3</f>
        <v>2021</v>
      </c>
      <c r="H17" s="182">
        <f t="shared" ref="H17:L17" si="4">H3</f>
        <v>2022</v>
      </c>
      <c r="I17" s="182">
        <f t="shared" si="4"/>
        <v>2023</v>
      </c>
      <c r="J17" s="182" t="str">
        <f t="shared" si="4"/>
        <v>2024E</v>
      </c>
      <c r="K17" s="182" t="str">
        <f t="shared" si="4"/>
        <v>2025E</v>
      </c>
      <c r="L17" s="182" t="str">
        <f t="shared" si="4"/>
        <v>2026E</v>
      </c>
      <c r="M17" s="183"/>
    </row>
    <row r="18" spans="2:13" x14ac:dyDescent="0.25">
      <c r="B18" s="137" t="s">
        <v>264</v>
      </c>
      <c r="C18" s="137"/>
      <c r="F18" s="184" t="s">
        <v>261</v>
      </c>
      <c r="G18" s="185">
        <f>+$C$15/G4</f>
        <v>7.7482286452931728</v>
      </c>
      <c r="H18" s="185">
        <f>+$C$15/H4</f>
        <v>4.3404459188656688</v>
      </c>
      <c r="I18" s="185">
        <f t="shared" ref="I18:L18" si="5">+$C$15/I4</f>
        <v>4.4105823709288545</v>
      </c>
      <c r="J18" s="186">
        <f>+$C$15/J4</f>
        <v>3.5101370287886908</v>
      </c>
      <c r="K18" s="186">
        <f t="shared" si="5"/>
        <v>2.9944655041111958</v>
      </c>
      <c r="L18" s="187">
        <f t="shared" si="5"/>
        <v>2.6050073431420628</v>
      </c>
      <c r="M18" s="188"/>
    </row>
    <row r="19" spans="2:13" x14ac:dyDescent="0.25">
      <c r="B19" s="37" t="s">
        <v>265</v>
      </c>
      <c r="C19" s="197">
        <f>L11</f>
        <v>5.7961847085239979</v>
      </c>
      <c r="F19" s="189" t="s">
        <v>262</v>
      </c>
      <c r="G19" s="188">
        <f>+$C$15/G7</f>
        <v>12.827594272717773</v>
      </c>
      <c r="H19" s="188">
        <f t="shared" ref="H19:L19" si="6">+$C$15/H7</f>
        <v>6.7472686840076488</v>
      </c>
      <c r="I19" s="188">
        <f t="shared" si="6"/>
        <v>5.6778031472039849</v>
      </c>
      <c r="J19" s="190">
        <f>+$C$15/J7</f>
        <v>4.9398841484829692</v>
      </c>
      <c r="K19" s="190">
        <f t="shared" si="6"/>
        <v>4.2293326104156508</v>
      </c>
      <c r="L19" s="191">
        <f t="shared" si="6"/>
        <v>3.6534679846071998</v>
      </c>
      <c r="M19" s="188"/>
    </row>
    <row r="20" spans="2:13" x14ac:dyDescent="0.25">
      <c r="B20" s="37" t="s">
        <v>266</v>
      </c>
      <c r="C20" s="198">
        <f>L21</f>
        <v>4.7307236061684463</v>
      </c>
      <c r="F20" s="189" t="s">
        <v>244</v>
      </c>
      <c r="G20" s="188">
        <f>+$C$8/G11</f>
        <v>73.443830570902392</v>
      </c>
      <c r="H20" s="188">
        <f>+$C$8/H11</f>
        <v>14.475499092558985</v>
      </c>
      <c r="I20" s="188">
        <f t="shared" ref="I20:L20" si="7">+$C$8/I11</f>
        <v>9.9700000000000006</v>
      </c>
      <c r="J20" s="190">
        <f>+$C$8/J11</f>
        <v>9.4743588994373376</v>
      </c>
      <c r="K20" s="190">
        <f>+$C$8/K11</f>
        <v>7.9953700889192554</v>
      </c>
      <c r="L20" s="191">
        <f t="shared" si="7"/>
        <v>6.8803880492889729</v>
      </c>
      <c r="M20" s="188"/>
    </row>
    <row r="21" spans="2:13" x14ac:dyDescent="0.25">
      <c r="B21" s="60" t="s">
        <v>264</v>
      </c>
      <c r="C21" s="199">
        <f>+C19*C20</f>
        <v>27.420147826327053</v>
      </c>
      <c r="F21" s="192" t="s">
        <v>263</v>
      </c>
      <c r="G21" s="193">
        <f>+$C$8/G13</f>
        <v>99.7</v>
      </c>
      <c r="H21" s="193">
        <f>+$C$8/H13</f>
        <v>14.242857142857146</v>
      </c>
      <c r="I21" s="193">
        <f>+$C$8/I13</f>
        <v>9.5635491606714638</v>
      </c>
      <c r="J21" s="194">
        <f>+$C$8/J13</f>
        <v>7.3715341959334566</v>
      </c>
      <c r="K21" s="194">
        <f t="shared" ref="K21:L21" si="8">+$C$8/K13</f>
        <v>5.5620641562064161</v>
      </c>
      <c r="L21" s="195">
        <f t="shared" si="8"/>
        <v>4.7307236061684463</v>
      </c>
      <c r="M21" s="188"/>
    </row>
    <row r="22" spans="2:13" x14ac:dyDescent="0.25">
      <c r="B22" s="200" t="s">
        <v>246</v>
      </c>
      <c r="C22" s="201">
        <f>+C21/$C$8-1</f>
        <v>-0.31243360515729557</v>
      </c>
    </row>
    <row r="23" spans="2:13" x14ac:dyDescent="0.25">
      <c r="B23" s="202" t="s">
        <v>267</v>
      </c>
      <c r="C23" s="203">
        <f>+C21/$C$8</f>
        <v>0.68756639484270443</v>
      </c>
      <c r="F23" s="196"/>
      <c r="G23" s="196"/>
      <c r="H23" s="196"/>
      <c r="I23" s="196"/>
      <c r="J23" s="196"/>
      <c r="K23" s="196"/>
    </row>
    <row r="24" spans="2:13" x14ac:dyDescent="0.25">
      <c r="B24" s="204" t="s">
        <v>269</v>
      </c>
      <c r="C24" s="205">
        <f>+RATE(3,0,-C8,C21,0,0)</f>
        <v>-0.1173845053336484</v>
      </c>
      <c r="F24" s="196"/>
      <c r="G24" s="196"/>
      <c r="H24" s="196"/>
      <c r="I24" s="196"/>
      <c r="J24" s="196"/>
      <c r="K24" s="196"/>
    </row>
    <row r="25" spans="2:13" ht="15" customHeight="1" x14ac:dyDescent="0.25">
      <c r="F25" s="196"/>
      <c r="G25" s="196"/>
      <c r="H25" s="196"/>
      <c r="I25" s="196"/>
      <c r="J25" s="196"/>
      <c r="K25" s="196"/>
    </row>
    <row r="26" spans="2:13" x14ac:dyDescent="0.25">
      <c r="B26" s="137" t="s">
        <v>270</v>
      </c>
      <c r="C26" s="137"/>
      <c r="G26" s="388" t="s">
        <v>242</v>
      </c>
      <c r="H26" s="388"/>
      <c r="I26" s="388"/>
      <c r="J26" s="388"/>
      <c r="K26" s="196"/>
    </row>
    <row r="27" spans="2:13" x14ac:dyDescent="0.25">
      <c r="B27" s="37" t="s">
        <v>271</v>
      </c>
      <c r="C27" s="197">
        <f>G29</f>
        <v>4.21</v>
      </c>
      <c r="F27" s="141"/>
      <c r="G27" s="139" t="str">
        <f>J3</f>
        <v>2024E</v>
      </c>
      <c r="H27" s="142" t="s">
        <v>244</v>
      </c>
      <c r="I27" s="142" t="s">
        <v>245</v>
      </c>
      <c r="J27" s="142" t="s">
        <v>246</v>
      </c>
      <c r="K27" s="196"/>
    </row>
    <row r="28" spans="2:13" x14ac:dyDescent="0.25">
      <c r="B28" s="37" t="s">
        <v>266</v>
      </c>
      <c r="C28" s="198">
        <f>H29</f>
        <v>10.7</v>
      </c>
      <c r="F28" s="141" t="s">
        <v>27</v>
      </c>
      <c r="G28" s="146">
        <v>4.5199999999999996</v>
      </c>
      <c r="H28" s="147">
        <v>11.4</v>
      </c>
      <c r="I28" s="148">
        <f>+IFERROR(G28*H28,"n.a.")</f>
        <v>51.527999999999999</v>
      </c>
      <c r="J28" s="149">
        <f>+IFERROR(I28/$C$8-1,"n.a.")</f>
        <v>0.29207622868605809</v>
      </c>
      <c r="K28" s="196"/>
    </row>
    <row r="29" spans="2:13" x14ac:dyDescent="0.25">
      <c r="B29" s="161" t="s">
        <v>272</v>
      </c>
      <c r="C29" s="206">
        <f>+C27*C28</f>
        <v>45.046999999999997</v>
      </c>
      <c r="F29" s="134" t="s">
        <v>26</v>
      </c>
      <c r="G29" s="146">
        <v>4.21</v>
      </c>
      <c r="H29" s="147">
        <v>10.7</v>
      </c>
      <c r="I29" s="148">
        <f>+IFERROR(G29*H29,"n.a.")</f>
        <v>45.046999999999997</v>
      </c>
      <c r="J29" s="149">
        <f>+IFERROR(I29/$C$8-1,"n.a.")</f>
        <v>0.12956369107321941</v>
      </c>
    </row>
    <row r="30" spans="2:13" x14ac:dyDescent="0.25">
      <c r="B30" s="204" t="s">
        <v>246</v>
      </c>
      <c r="C30" s="205">
        <f>+C29/$C$8-1</f>
        <v>0.12956369107321941</v>
      </c>
      <c r="F30" s="141" t="s">
        <v>25</v>
      </c>
      <c r="G30" s="146">
        <v>4.03</v>
      </c>
      <c r="H30" s="147">
        <v>7.9</v>
      </c>
      <c r="I30" s="148">
        <f>+IFERROR(G30*H30,"n.a.")</f>
        <v>31.837000000000003</v>
      </c>
      <c r="J30" s="149">
        <f>+IFERROR(I30/$C$8-1,"n.a.")</f>
        <v>-0.201680040120361</v>
      </c>
    </row>
    <row r="31" spans="2:13" x14ac:dyDescent="0.25">
      <c r="F31" s="154"/>
      <c r="G31" s="155"/>
      <c r="H31" s="155"/>
      <c r="I31" s="155"/>
      <c r="J31" s="155"/>
    </row>
    <row r="32" spans="2:13" x14ac:dyDescent="0.25">
      <c r="B32" s="207" t="s">
        <v>273</v>
      </c>
      <c r="C32" s="208"/>
    </row>
    <row r="33" spans="2:3" x14ac:dyDescent="0.25">
      <c r="B33" s="37" t="s">
        <v>274</v>
      </c>
      <c r="C33" s="197">
        <f>G30</f>
        <v>4.03</v>
      </c>
    </row>
    <row r="34" spans="2:3" x14ac:dyDescent="0.25">
      <c r="B34" s="37" t="s">
        <v>266</v>
      </c>
      <c r="C34" s="198">
        <f>H30</f>
        <v>7.9</v>
      </c>
    </row>
    <row r="35" spans="2:3" x14ac:dyDescent="0.25">
      <c r="B35" s="161" t="s">
        <v>275</v>
      </c>
      <c r="C35" s="206">
        <f>+C33*C34</f>
        <v>31.837000000000003</v>
      </c>
    </row>
    <row r="36" spans="2:3" x14ac:dyDescent="0.25">
      <c r="B36" s="204" t="s">
        <v>246</v>
      </c>
      <c r="C36" s="205">
        <f>+C35/$C$8-1</f>
        <v>-0.201680040120361</v>
      </c>
    </row>
  </sheetData>
  <mergeCells count="3">
    <mergeCell ref="B7:C7"/>
    <mergeCell ref="G26:J26"/>
    <mergeCell ref="G2:L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D907-DA73-42F8-A411-7905CE35AAA2}">
  <dimension ref="A2:AP114"/>
  <sheetViews>
    <sheetView showGridLines="0" zoomScale="70" zoomScaleNormal="70" workbookViewId="0">
      <pane xSplit="3" ySplit="9" topLeftCell="D10" activePane="bottomRight" state="frozen"/>
      <selection activeCell="AF61" sqref="AF61"/>
      <selection pane="topRight" activeCell="AF61" sqref="AF61"/>
      <selection pane="bottomLeft" activeCell="AF61" sqref="AF61"/>
      <selection pane="bottomRight" activeCell="AP40" sqref="AP40"/>
    </sheetView>
  </sheetViews>
  <sheetFormatPr defaultColWidth="12" defaultRowHeight="15.75" outlineLevelRow="1" x14ac:dyDescent="0.25"/>
  <cols>
    <col min="1" max="1" width="4" style="213" customWidth="1"/>
    <col min="2" max="2" width="12" style="216" customWidth="1"/>
    <col min="3" max="3" width="23.42578125" style="216" customWidth="1"/>
    <col min="4" max="5" width="10.28515625" style="216" customWidth="1"/>
    <col min="6" max="6" width="11.28515625" style="216" customWidth="1"/>
    <col min="7" max="7" width="12.42578125" style="216" bestFit="1" customWidth="1"/>
    <col min="8" max="9" width="10.28515625" style="216" customWidth="1"/>
    <col min="10" max="10" width="11.85546875" style="216" customWidth="1"/>
    <col min="11" max="13" width="10.28515625" style="216" customWidth="1"/>
    <col min="14" max="14" width="12.7109375" style="216" customWidth="1"/>
    <col min="15" max="19" width="10.28515625" style="216" customWidth="1"/>
    <col min="20" max="20" width="11" style="216" customWidth="1"/>
    <col min="21" max="22" width="11.85546875" style="216" customWidth="1"/>
    <col min="23" max="24" width="10.28515625" style="216" customWidth="1"/>
    <col min="25" max="25" width="11.85546875" style="216" bestFit="1" customWidth="1"/>
    <col min="26" max="26" width="13.140625" style="216" bestFit="1" customWidth="1"/>
    <col min="27" max="29" width="10.28515625" style="216" customWidth="1"/>
    <col min="30" max="16384" width="12" style="216"/>
  </cols>
  <sheetData>
    <row r="2" spans="1:31" s="211" customFormat="1" ht="21" x14ac:dyDescent="0.35">
      <c r="A2" s="209"/>
      <c r="B2" s="210"/>
      <c r="F2" s="212"/>
      <c r="R2" s="212"/>
      <c r="U2" s="212"/>
    </row>
    <row r="4" spans="1:31" x14ac:dyDescent="0.25">
      <c r="B4" s="214" t="s">
        <v>236</v>
      </c>
      <c r="C4" s="215">
        <v>45450</v>
      </c>
      <c r="F4" s="217"/>
    </row>
    <row r="5" spans="1:31" x14ac:dyDescent="0.25">
      <c r="B5" s="214" t="s">
        <v>276</v>
      </c>
      <c r="C5" s="218" t="s">
        <v>277</v>
      </c>
    </row>
    <row r="7" spans="1:31" ht="18" x14ac:dyDescent="0.25">
      <c r="B7" s="219">
        <f ca="1">B7:O23</f>
        <v>0</v>
      </c>
      <c r="C7" s="220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21"/>
      <c r="S7" s="221"/>
      <c r="T7" s="221"/>
      <c r="U7" s="221"/>
      <c r="V7" s="221"/>
      <c r="W7" s="221"/>
      <c r="X7" s="222" t="s">
        <v>278</v>
      </c>
      <c r="Y7" s="222"/>
      <c r="Z7" s="222"/>
      <c r="AA7" s="222"/>
      <c r="AB7" s="222"/>
      <c r="AC7" s="222"/>
    </row>
    <row r="8" spans="1:31" ht="18" x14ac:dyDescent="0.25">
      <c r="B8" s="219"/>
      <c r="C8" s="219"/>
      <c r="D8" s="221" t="s">
        <v>279</v>
      </c>
      <c r="E8" s="221" t="s">
        <v>280</v>
      </c>
      <c r="F8" s="221" t="s">
        <v>281</v>
      </c>
      <c r="G8" s="221" t="s">
        <v>282</v>
      </c>
      <c r="H8" s="221"/>
      <c r="I8" s="222" t="s">
        <v>237</v>
      </c>
      <c r="J8" s="222"/>
      <c r="K8" s="222"/>
      <c r="L8" s="222" t="s">
        <v>230</v>
      </c>
      <c r="M8" s="222"/>
      <c r="N8" s="222" t="s">
        <v>283</v>
      </c>
      <c r="O8" s="222"/>
      <c r="P8" s="221"/>
      <c r="Q8" s="222" t="s">
        <v>284</v>
      </c>
      <c r="R8" s="222"/>
      <c r="S8" s="222" t="s">
        <v>285</v>
      </c>
      <c r="T8" s="222"/>
      <c r="U8" s="222" t="s">
        <v>286</v>
      </c>
      <c r="V8" s="222"/>
      <c r="W8" s="221"/>
      <c r="X8" s="222" t="s">
        <v>287</v>
      </c>
      <c r="Y8" s="222"/>
      <c r="Z8" s="222" t="s">
        <v>288</v>
      </c>
      <c r="AA8" s="222"/>
      <c r="AB8" s="222" t="s">
        <v>289</v>
      </c>
      <c r="AC8" s="222"/>
    </row>
    <row r="9" spans="1:31" ht="15.75" customHeight="1" x14ac:dyDescent="0.25">
      <c r="B9" s="223" t="s">
        <v>235</v>
      </c>
      <c r="C9" s="223" t="s">
        <v>290</v>
      </c>
      <c r="D9" s="224" t="s">
        <v>247</v>
      </c>
      <c r="E9" s="224" t="s">
        <v>291</v>
      </c>
      <c r="F9" s="224" t="s">
        <v>292</v>
      </c>
      <c r="G9" s="224" t="s">
        <v>293</v>
      </c>
      <c r="H9" s="221"/>
      <c r="I9" s="225" t="s">
        <v>294</v>
      </c>
      <c r="J9" s="225" t="s">
        <v>295</v>
      </c>
      <c r="K9" s="225" t="s">
        <v>296</v>
      </c>
      <c r="L9" s="225" t="s">
        <v>297</v>
      </c>
      <c r="M9" s="225" t="s">
        <v>298</v>
      </c>
      <c r="N9" s="225" t="str">
        <f>L9</f>
        <v>'22</v>
      </c>
      <c r="O9" s="225" t="str">
        <f>M9</f>
        <v>'23</v>
      </c>
      <c r="P9" s="224"/>
      <c r="Q9" s="225" t="s">
        <v>299</v>
      </c>
      <c r="R9" s="225" t="s">
        <v>300</v>
      </c>
      <c r="S9" s="225" t="s">
        <v>297</v>
      </c>
      <c r="T9" s="225" t="s">
        <v>298</v>
      </c>
      <c r="U9" s="225" t="str">
        <f>S9</f>
        <v>'22</v>
      </c>
      <c r="V9" s="225" t="str">
        <f>T9</f>
        <v>'23</v>
      </c>
      <c r="W9" s="225"/>
      <c r="X9" s="225" t="s">
        <v>301</v>
      </c>
      <c r="Y9" s="225" t="s">
        <v>302</v>
      </c>
      <c r="Z9" s="225" t="str">
        <f>X9</f>
        <v>‘24</v>
      </c>
      <c r="AA9" s="225" t="str">
        <f>Y9</f>
        <v>’25</v>
      </c>
      <c r="AB9" s="225" t="str">
        <f>Z9</f>
        <v>‘24</v>
      </c>
      <c r="AC9" s="225" t="str">
        <f>AA9</f>
        <v>’25</v>
      </c>
    </row>
    <row r="10" spans="1:31" ht="5.25" customHeight="1" x14ac:dyDescent="0.25">
      <c r="B10" s="226"/>
      <c r="C10" s="226"/>
      <c r="D10" s="227"/>
      <c r="E10" s="227"/>
      <c r="F10" s="227"/>
      <c r="G10" s="227"/>
      <c r="I10" s="227"/>
      <c r="J10" s="227"/>
      <c r="K10" s="227"/>
      <c r="L10" s="227"/>
      <c r="M10" s="227"/>
      <c r="N10" s="227"/>
      <c r="O10" s="227"/>
      <c r="P10" s="227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</row>
    <row r="11" spans="1:31" ht="15.75" customHeight="1" x14ac:dyDescent="0.25">
      <c r="B11" s="229" t="str">
        <f>B39</f>
        <v>VIST-US</v>
      </c>
      <c r="C11" s="230" t="str">
        <f>VLOOKUP($B11,$B$39:$Q$59,C$35,0)</f>
        <v>Vista Energy SAB de CV Sponsored ADR Class A</v>
      </c>
      <c r="D11" s="343">
        <f>VLOOKUP($B11,$B$39:$Q$49,D$35,0)</f>
        <v>42.88</v>
      </c>
      <c r="E11" s="343">
        <f>VLOOKUP($B11,$B$39:$Q$49,E$35,0)</f>
        <v>115.02209499999999</v>
      </c>
      <c r="F11" s="343">
        <f>VLOOKUP($B11,$B$39:$Q$49,F$35,0)</f>
        <v>4932.1474336000001</v>
      </c>
      <c r="G11" s="343">
        <f>VLOOKUP($B11,$B$39:$Q$49,G$35,0)</f>
        <v>5563.5424335999996</v>
      </c>
      <c r="H11" s="231"/>
      <c r="I11" s="231">
        <f>VLOOKUP($B11,$B$39:$Q$49,K$35,0)</f>
        <v>652.18700000000001</v>
      </c>
      <c r="J11" s="231">
        <f>VLOOKUP($B11,$B$39:$Q$49,L$35,0)</f>
        <v>1187.6600000000001</v>
      </c>
      <c r="K11" s="231">
        <f>VLOOKUP($B11,$B$39:$Q$49,M$35,0)</f>
        <v>1168.7739999999999</v>
      </c>
      <c r="L11" s="231">
        <f>VLOOKUP($B11,$B$39:$Q$49,N$35,0)</f>
        <v>739.97500000000002</v>
      </c>
      <c r="M11" s="231">
        <f>VLOOKUP($B11,$B$39:$Q$49,O$35,0)</f>
        <v>729.45100000000002</v>
      </c>
      <c r="N11" s="231">
        <f>INDEX($P$39:$P$49,MATCH($B11,$B$39:$B$47,0))</f>
        <v>269.53500000000003</v>
      </c>
      <c r="O11" s="231">
        <f>INDEX($Q$39:$Q$49,MATCH($B11,$B$39:$B$47,0))</f>
        <v>396.95499999999998</v>
      </c>
      <c r="P11" s="232"/>
      <c r="Q11" s="232">
        <f>J11/I11-1</f>
        <v>0.82104212442137015</v>
      </c>
      <c r="R11" s="232">
        <f>K11/J11-1</f>
        <v>-1.5901857433945898E-2</v>
      </c>
      <c r="S11" s="232">
        <f>L11/J11</f>
        <v>0.62305289392587104</v>
      </c>
      <c r="T11" s="232">
        <f>M11/K11</f>
        <v>0.62411638178125117</v>
      </c>
      <c r="U11" s="232">
        <f>N11/J11</f>
        <v>0.22694626408231314</v>
      </c>
      <c r="V11" s="232">
        <f>O11/K11</f>
        <v>0.33963366741559964</v>
      </c>
      <c r="W11" s="232"/>
      <c r="X11" s="386" cm="1">
        <f t="array" ref="X11">_xll.FDS(B11,"FE_VALUATION(FFEV_SALES,MEAN,ANN,+1,NOW,,,'')")</f>
        <v>2.9430027000000001</v>
      </c>
      <c r="Y11" s="386" cm="1">
        <f t="array" ref="Y11">_xll.FDS(B11,"FE_VALUATION(FFEV_SALES,MEAN,ANN,+2,NOW,,,'')")</f>
        <v>2.2471087000000001</v>
      </c>
      <c r="Z11" s="386" cm="1">
        <f t="array" ref="Z11">_xll.FDS(B11,"FE_VALUATION(FFEV_EBITDA,MEAN,ANN,+1,NOW,,,'')")</f>
        <v>4.0973059999999997</v>
      </c>
      <c r="AA11" s="386" cm="1">
        <f t="array" ref="AA11">_xll.FDS(B11,"FE_VALUATION(FFEV_EBITDA,MEAN,ANN,+2,NOW,,,'')")</f>
        <v>3.0989849999999999</v>
      </c>
      <c r="AB11" s="386" cm="1">
        <f t="array" ref="AB11">_xll.FDS(B11,"FE_VALUATION(PE,MEAN,ANN,+1,NOW,,,'')")</f>
        <v>7.9252523999999998</v>
      </c>
      <c r="AC11" s="386" cm="1">
        <f t="array" ref="AC11">_xll.FDS(B11,"FE_VALUATION(PE,MEAN,ANN,+2,NOW,,,'')")</f>
        <v>5.9780717000000001</v>
      </c>
    </row>
    <row r="12" spans="1:31" ht="4.5" customHeight="1" x14ac:dyDescent="0.25">
      <c r="B12" s="233"/>
      <c r="C12" s="234"/>
      <c r="D12" s="344"/>
      <c r="E12" s="345"/>
      <c r="F12" s="345"/>
      <c r="G12" s="345"/>
      <c r="I12" s="236"/>
      <c r="J12" s="236"/>
      <c r="K12" s="236"/>
      <c r="L12" s="236"/>
      <c r="M12" s="236"/>
      <c r="N12" s="236"/>
      <c r="O12" s="236"/>
      <c r="P12" s="237"/>
      <c r="Q12" s="232"/>
      <c r="R12" s="232"/>
      <c r="S12" s="232"/>
      <c r="T12" s="232"/>
      <c r="U12" s="232"/>
      <c r="V12" s="232"/>
      <c r="W12" s="237"/>
      <c r="X12" s="386"/>
      <c r="Y12" s="386"/>
      <c r="Z12" s="386"/>
      <c r="AA12" s="386"/>
      <c r="AB12" s="386"/>
      <c r="AC12" s="386"/>
    </row>
    <row r="13" spans="1:31" ht="15.75" customHeight="1" x14ac:dyDescent="0.25">
      <c r="A13" s="213">
        <v>1</v>
      </c>
      <c r="B13" s="233" t="str">
        <f t="shared" ref="B13:B22" si="0">B40</f>
        <v>FANG-US</v>
      </c>
      <c r="C13" s="216" t="str">
        <f t="shared" ref="C13:C21" si="1">VLOOKUP($B13,$B$39:$Q$59,C$35,0)</f>
        <v>Diamondback Energy, Inc.</v>
      </c>
      <c r="D13" s="343">
        <f t="shared" ref="D13:G22" si="2">VLOOKUP($B13,$B$39:$Q$49,D$35,0)</f>
        <v>198.22</v>
      </c>
      <c r="E13" s="343">
        <f t="shared" si="2"/>
        <v>179.75312299999999</v>
      </c>
      <c r="F13" s="343">
        <f t="shared" si="2"/>
        <v>35630.664041059994</v>
      </c>
      <c r="G13" s="343">
        <f t="shared" si="2"/>
        <v>41360.664041059994</v>
      </c>
      <c r="I13" s="231">
        <f t="shared" ref="I13:I22" si="3">VLOOKUP($B13,$B$39:$Q$49,K$35,0)</f>
        <v>6797</v>
      </c>
      <c r="J13" s="231">
        <f t="shared" ref="J13:J22" si="4">VLOOKUP($B13,$B$39:$Q$49,L$35,0)</f>
        <v>9643</v>
      </c>
      <c r="K13" s="231">
        <f t="shared" ref="K13:K22" si="5">VLOOKUP($B13,$B$39:$Q$49,M$35,0)</f>
        <v>8412</v>
      </c>
      <c r="L13" s="231">
        <f t="shared" ref="L13:L22" si="6">VLOOKUP($B13,$B$39:$Q$49,N$35,0)</f>
        <v>7866</v>
      </c>
      <c r="M13" s="231">
        <f t="shared" ref="M13:M22" si="7">VLOOKUP($B13,$B$39:$Q$49,O$35,0)</f>
        <v>6327</v>
      </c>
      <c r="N13" s="231">
        <f t="shared" ref="N13:N20" si="8">INDEX($P$39:$P$49,MATCH($B13,$B$39:$B$47,0))</f>
        <v>4344</v>
      </c>
      <c r="O13" s="231">
        <f t="shared" ref="O13:O20" si="9">INDEX($Q$39:$Q$49,MATCH($B13,$B$39:$B$47,0))</f>
        <v>3121</v>
      </c>
      <c r="P13" s="239"/>
      <c r="Q13" s="232">
        <f t="shared" ref="Q13:R18" si="10">J13/I13-1</f>
        <v>0.41871413859055462</v>
      </c>
      <c r="R13" s="232">
        <f t="shared" si="10"/>
        <v>-0.12765736803899197</v>
      </c>
      <c r="S13" s="232">
        <f t="shared" ref="S13:T18" si="11">L13/J13</f>
        <v>0.81572124857409523</v>
      </c>
      <c r="T13" s="232">
        <f t="shared" si="11"/>
        <v>0.75213980028530669</v>
      </c>
      <c r="U13" s="232">
        <f t="shared" ref="U13:V18" si="12">N13/J13</f>
        <v>0.45048221507829511</v>
      </c>
      <c r="V13" s="232">
        <f t="shared" si="12"/>
        <v>0.37101759391345696</v>
      </c>
      <c r="W13" s="239"/>
      <c r="X13" s="386" cm="1">
        <f t="array" ref="X13">_xll.FDS(B13,"FE_VALUATION(FFEV_SALES,MEAN,ANN,+1,NOW,,,'')")</f>
        <v>4.5286200000000001</v>
      </c>
      <c r="Y13" s="386" cm="1">
        <f t="array" ref="Y13">_xll.FDS(B13,"FE_VALUATION(FFEV_SALES,MEAN,ANN,+2,NOW,,,'')")</f>
        <v>2.8510849999999999</v>
      </c>
      <c r="Z13" s="386" cm="1">
        <f t="array" ref="Z13">_xll.FDS(B13,"FE_VALUATION(FFEV_EBITDA,MEAN,ANN,+1,NOW,,,'')")</f>
        <v>6.1327610000000004</v>
      </c>
      <c r="AA13" s="386" cm="1">
        <f t="array" ref="AA13">_xll.FDS(B13,"FE_VALUATION(FFEV_EBITDA,MEAN,ANN,+2,NOW,,,'')")</f>
        <v>3.7203504999999999</v>
      </c>
      <c r="AB13" s="386" cm="1">
        <f t="array" ref="AB13">_xll.FDS(B13,"FE_VALUATION(PE,MEAN,ANN,+1,NOW,,,'')")</f>
        <v>10.549903</v>
      </c>
      <c r="AC13" s="386" cm="1">
        <f t="array" ref="AC13">_xll.FDS(B13,"FE_VALUATION(PE,MEAN,ANN,+2,NOW,,,'')")</f>
        <v>9.6751710000000006</v>
      </c>
      <c r="AE13" s="350"/>
    </row>
    <row r="14" spans="1:31" ht="15.75" customHeight="1" x14ac:dyDescent="0.25">
      <c r="A14" s="213">
        <f t="shared" ref="A14:A18" si="13">A13+1</f>
        <v>2</v>
      </c>
      <c r="B14" s="233" t="str">
        <f t="shared" si="0"/>
        <v>EOG-US</v>
      </c>
      <c r="C14" s="216" t="str">
        <f t="shared" si="1"/>
        <v>EOG Resources, Inc.</v>
      </c>
      <c r="D14" s="343">
        <f t="shared" si="2"/>
        <v>123.11</v>
      </c>
      <c r="E14" s="343">
        <f t="shared" si="2"/>
        <v>587.21549100000004</v>
      </c>
      <c r="F14" s="343">
        <f t="shared" si="2"/>
        <v>72292.09909701001</v>
      </c>
      <c r="G14" s="343">
        <f t="shared" si="2"/>
        <v>71109.09909701001</v>
      </c>
      <c r="I14" s="231">
        <f t="shared" si="3"/>
        <v>19777</v>
      </c>
      <c r="J14" s="231">
        <f t="shared" si="4"/>
        <v>29610</v>
      </c>
      <c r="K14" s="231">
        <f t="shared" si="5"/>
        <v>23273</v>
      </c>
      <c r="L14" s="231">
        <f t="shared" si="6"/>
        <v>17843</v>
      </c>
      <c r="M14" s="231">
        <f t="shared" si="7"/>
        <v>12385</v>
      </c>
      <c r="N14" s="231">
        <f t="shared" si="8"/>
        <v>7759</v>
      </c>
      <c r="O14" s="231">
        <f t="shared" si="9"/>
        <v>7594</v>
      </c>
      <c r="P14" s="239"/>
      <c r="Q14" s="232">
        <f t="shared" si="10"/>
        <v>0.49719370986499478</v>
      </c>
      <c r="R14" s="232">
        <f t="shared" si="10"/>
        <v>-0.21401553529213102</v>
      </c>
      <c r="S14" s="232">
        <f t="shared" si="11"/>
        <v>0.60260047281323881</v>
      </c>
      <c r="T14" s="232">
        <f t="shared" si="11"/>
        <v>0.53216173247969756</v>
      </c>
      <c r="U14" s="232">
        <f t="shared" si="12"/>
        <v>0.2620398514015535</v>
      </c>
      <c r="V14" s="232">
        <f t="shared" si="12"/>
        <v>0.32630086366175398</v>
      </c>
      <c r="W14" s="239"/>
      <c r="X14" s="386" cm="1">
        <f t="array" ref="X14">_xll.FDS(B14,"FE_VALUATION(FFEV_SALES,MEAN,ANN,+1,NOW,,,'')")</f>
        <v>2.8622017</v>
      </c>
      <c r="Y14" s="386" cm="1">
        <f t="array" ref="Y14">_xll.FDS(B14,"FE_VALUATION(FFEV_SALES,MEAN,ANN,+2,NOW,,,'')")</f>
        <v>2.7722433</v>
      </c>
      <c r="Z14" s="386" cm="1">
        <f t="array" ref="Z14">_xll.FDS(B14,"FE_VALUATION(FFEV_EBITDA,MEAN,ANN,+1,NOW,,,'')")</f>
        <v>5.2861104000000001</v>
      </c>
      <c r="AA14" s="386" cm="1">
        <f t="array" ref="AA14">_xll.FDS(B14,"FE_VALUATION(FFEV_EBITDA,MEAN,ANN,+2,NOW,,,'')")</f>
        <v>5.2076396999999996</v>
      </c>
      <c r="AB14" s="386" cm="1">
        <f t="array" ref="AB14">_xll.FDS(B14,"FE_VALUATION(PE,MEAN,ANN,+1,NOW,,,'')")</f>
        <v>10.526679</v>
      </c>
      <c r="AC14" s="386" cm="1">
        <f t="array" ref="AC14">_xll.FDS(B14,"FE_VALUATION(PE,MEAN,ANN,+2,NOW,,,'')")</f>
        <v>10.297328</v>
      </c>
    </row>
    <row r="15" spans="1:31" ht="15.75" customHeight="1" x14ac:dyDescent="0.25">
      <c r="A15" s="213">
        <f t="shared" si="13"/>
        <v>3</v>
      </c>
      <c r="B15" s="233" t="str">
        <f t="shared" si="0"/>
        <v>HES-US</v>
      </c>
      <c r="C15" s="216" t="str">
        <f t="shared" si="1"/>
        <v>Hess Corporation</v>
      </c>
      <c r="D15" s="343">
        <f t="shared" si="2"/>
        <v>141.22999999999999</v>
      </c>
      <c r="E15" s="343">
        <f t="shared" si="2"/>
        <v>309.37536</v>
      </c>
      <c r="F15" s="343">
        <f t="shared" si="2"/>
        <v>43693.082092799996</v>
      </c>
      <c r="G15" s="343">
        <f t="shared" si="2"/>
        <v>51552.082092799996</v>
      </c>
      <c r="I15" s="231">
        <f t="shared" si="3"/>
        <v>7716</v>
      </c>
      <c r="J15" s="231">
        <f t="shared" si="4"/>
        <v>11909</v>
      </c>
      <c r="K15" s="231">
        <f t="shared" si="5"/>
        <v>10701</v>
      </c>
      <c r="L15" s="231">
        <f t="shared" si="6"/>
        <v>6211</v>
      </c>
      <c r="M15" s="231">
        <f t="shared" si="7"/>
        <v>5359</v>
      </c>
      <c r="N15" s="231">
        <f t="shared" si="8"/>
        <v>2096</v>
      </c>
      <c r="O15" s="231">
        <f t="shared" si="9"/>
        <v>1382</v>
      </c>
      <c r="P15" s="239"/>
      <c r="Q15" s="232">
        <f t="shared" si="10"/>
        <v>0.54341627786417823</v>
      </c>
      <c r="R15" s="232">
        <f t="shared" si="10"/>
        <v>-0.10143588882357879</v>
      </c>
      <c r="S15" s="232">
        <f t="shared" si="11"/>
        <v>0.52153833235368208</v>
      </c>
      <c r="T15" s="232">
        <f t="shared" si="11"/>
        <v>0.50079431828801046</v>
      </c>
      <c r="U15" s="232">
        <f t="shared" si="12"/>
        <v>0.17600134352170627</v>
      </c>
      <c r="V15" s="232">
        <f t="shared" si="12"/>
        <v>0.1291468087094664</v>
      </c>
      <c r="W15" s="239"/>
      <c r="X15" s="386" cm="1">
        <f t="array" ref="X15">_xll.FDS(B15,"FE_VALUATION(FFEV_SALES,MEAN,ANN,+1,NOW,,,'')")</f>
        <v>3.9478754999999999</v>
      </c>
      <c r="Y15" s="386" cm="1">
        <f t="array" ref="Y15">_xll.FDS(B15,"FE_VALUATION(FFEV_SALES,MEAN,ANN,+2,NOW,,,'')")</f>
        <v>3.7863228000000002</v>
      </c>
      <c r="Z15" s="386" cm="1">
        <f t="array" ref="Z15">_xll.FDS(B15,"FE_VALUATION(FFEV_EBITDA,MEAN,ANN,+1,NOW,,,'')")</f>
        <v>6.8857410000000003</v>
      </c>
      <c r="AA15" s="386" cm="1">
        <f t="array" ref="AA15">_xll.FDS(B15,"FE_VALUATION(FFEV_EBITDA,MEAN,ANN,+2,NOW,,,'')")</f>
        <v>6.4990110000000003</v>
      </c>
      <c r="AB15" s="386" cm="1">
        <f t="array" ref="AB15">_xll.FDS(B15,"FE_VALUATION(PE,MEAN,ANN,+1,NOW,,,'')")</f>
        <v>13.120293</v>
      </c>
      <c r="AC15" s="386" cm="1">
        <f t="array" ref="AC15">_xll.FDS(B15,"FE_VALUATION(PE,MEAN,ANN,+2,NOW,,,'')")</f>
        <v>12.157351</v>
      </c>
    </row>
    <row r="16" spans="1:31" ht="15.75" customHeight="1" x14ac:dyDescent="0.25">
      <c r="A16" s="213">
        <f t="shared" si="13"/>
        <v>4</v>
      </c>
      <c r="B16" s="233" t="str">
        <f t="shared" si="0"/>
        <v>PRIO3-BR</v>
      </c>
      <c r="C16" s="216" t="str">
        <f t="shared" si="1"/>
        <v>Prio SA</v>
      </c>
      <c r="D16" s="343">
        <f t="shared" si="2"/>
        <v>8.472512</v>
      </c>
      <c r="E16" s="343">
        <f t="shared" si="2"/>
        <v>838.35830399999998</v>
      </c>
      <c r="F16" s="343">
        <f t="shared" si="2"/>
        <v>7103.0007909396481</v>
      </c>
      <c r="G16" s="343">
        <f t="shared" si="2"/>
        <v>8514.3566228316577</v>
      </c>
      <c r="I16" s="231">
        <f t="shared" si="3"/>
        <v>814.65092076502697</v>
      </c>
      <c r="J16" s="231">
        <f t="shared" si="4"/>
        <v>1232.1533740300699</v>
      </c>
      <c r="K16" s="231">
        <f t="shared" si="5"/>
        <v>2383.4487126280401</v>
      </c>
      <c r="L16" s="231">
        <f t="shared" si="6"/>
        <v>912.86126999999999</v>
      </c>
      <c r="M16" s="231">
        <f t="shared" si="7"/>
        <v>1825.7264399999999</v>
      </c>
      <c r="N16" s="231">
        <f t="shared" si="8"/>
        <v>663.58056373977695</v>
      </c>
      <c r="O16" s="231">
        <f t="shared" si="9"/>
        <v>1037.0428714849099</v>
      </c>
      <c r="P16" s="239"/>
      <c r="Q16" s="232">
        <f t="shared" si="10"/>
        <v>0.51249245857719328</v>
      </c>
      <c r="R16" s="232">
        <f t="shared" si="10"/>
        <v>0.93437664731003967</v>
      </c>
      <c r="S16" s="232">
        <f t="shared" si="11"/>
        <v>0.74086659115679387</v>
      </c>
      <c r="T16" s="232">
        <f t="shared" si="11"/>
        <v>0.76600198289432286</v>
      </c>
      <c r="U16" s="232">
        <f t="shared" si="12"/>
        <v>0.53855354189338334</v>
      </c>
      <c r="V16" s="232">
        <f t="shared" si="12"/>
        <v>0.43510181947294552</v>
      </c>
      <c r="W16" s="239"/>
      <c r="X16" s="386" cm="1">
        <f t="array" ref="X16">_xll.FDS(B16,"FE_VALUATION(FFEV_SALES,MEAN,ANN,+1,NOW,,,'')")</f>
        <v>3.1872733000000002</v>
      </c>
      <c r="Y16" s="386" cm="1">
        <f t="array" ref="Y16">_xll.FDS(B16,"FE_VALUATION(FFEV_SALES,MEAN,ANN,+2,NOW,,,'')")</f>
        <v>2.5121330999999998</v>
      </c>
      <c r="Z16" s="386" cm="1">
        <f t="array" ref="Z16">_xll.FDS(B16,"FE_VALUATION(FFEV_EBITDA,MEAN,ANN,+1,NOW,,,'')")</f>
        <v>4.1824612999999999</v>
      </c>
      <c r="AA16" s="386" cm="1">
        <f t="array" ref="AA16">_xll.FDS(B16,"FE_VALUATION(FFEV_EBITDA,MEAN,ANN,+2,NOW,,,'')")</f>
        <v>3.2250730000000001</v>
      </c>
      <c r="AB16" s="386" cm="1">
        <f t="array" ref="AB16">_xll.FDS(B16,"FE_VALUATION(PE,MEAN,ANN,+1,NOW,,,'')")</f>
        <v>6.7155066000000003</v>
      </c>
      <c r="AC16" s="386" cm="1">
        <f t="array" ref="AC16">_xll.FDS(B16,"FE_VALUATION(PE,MEAN,ANN,+2,NOW,,,'')")</f>
        <v>4.8199915999999998</v>
      </c>
    </row>
    <row r="17" spans="1:29" ht="15.75" customHeight="1" x14ac:dyDescent="0.25">
      <c r="A17" s="213">
        <f t="shared" si="13"/>
        <v>5</v>
      </c>
      <c r="B17" s="233" t="str">
        <f t="shared" si="0"/>
        <v>RECV3-BR</v>
      </c>
      <c r="C17" s="216" t="str">
        <f t="shared" si="1"/>
        <v>Petroreconcavo SA</v>
      </c>
      <c r="D17" s="343">
        <f t="shared" si="2"/>
        <v>3.5839127999999998</v>
      </c>
      <c r="E17" s="343">
        <f t="shared" si="2"/>
        <v>294.79913800000003</v>
      </c>
      <c r="F17" s="343">
        <f t="shared" si="2"/>
        <v>1056.5344041071664</v>
      </c>
      <c r="G17" s="343">
        <f t="shared" si="2"/>
        <v>1099.6320980724824</v>
      </c>
      <c r="I17" s="231">
        <f t="shared" si="3"/>
        <v>192.84086174458301</v>
      </c>
      <c r="J17" s="231">
        <f t="shared" si="4"/>
        <v>576.22812688942201</v>
      </c>
      <c r="K17" s="231">
        <f t="shared" si="5"/>
        <v>563.44913909331001</v>
      </c>
      <c r="L17" s="231">
        <f t="shared" si="6"/>
        <v>312.06394</v>
      </c>
      <c r="M17" s="231">
        <f t="shared" si="7"/>
        <v>256.65519999999998</v>
      </c>
      <c r="N17" s="231">
        <f t="shared" si="8"/>
        <v>223.32995921661001</v>
      </c>
      <c r="O17" s="231">
        <f t="shared" si="9"/>
        <v>141.93293105274401</v>
      </c>
      <c r="P17" s="239"/>
      <c r="Q17" s="232">
        <f t="shared" si="10"/>
        <v>1.9881018041323317</v>
      </c>
      <c r="R17" s="232">
        <f t="shared" si="10"/>
        <v>-2.2176959436352339E-2</v>
      </c>
      <c r="S17" s="232">
        <f t="shared" si="11"/>
        <v>0.54156318554697169</v>
      </c>
      <c r="T17" s="232">
        <f t="shared" si="11"/>
        <v>0.45550730703574044</v>
      </c>
      <c r="U17" s="232">
        <f t="shared" si="12"/>
        <v>0.38757212429421545</v>
      </c>
      <c r="V17" s="232">
        <f t="shared" si="12"/>
        <v>0.25190016490421718</v>
      </c>
      <c r="W17" s="239"/>
      <c r="X17" s="386" cm="1">
        <f t="array" ref="X17">_xll.FDS(B17,"FE_VALUATION(FFEV_SALES,MEAN,ANN,+1,NOW,,,'')")</f>
        <v>1.7156893</v>
      </c>
      <c r="Y17" s="386" cm="1">
        <f t="array" ref="Y17">_xll.FDS(B17,"FE_VALUATION(FFEV_SALES,MEAN,ANN,+2,NOW,,,'')")</f>
        <v>1.455613</v>
      </c>
      <c r="Z17" s="386" cm="1">
        <f t="array" ref="Z17">_xll.FDS(B17,"FE_VALUATION(FFEV_EBITDA,MEAN,ANN,+1,NOW,,,'')")</f>
        <v>3.0157812000000002</v>
      </c>
      <c r="AA17" s="386" cm="1">
        <f t="array" ref="AA17">_xll.FDS(B17,"FE_VALUATION(FFEV_EBITDA,MEAN,ANN,+2,NOW,,,'')")</f>
        <v>2.4295620000000002</v>
      </c>
      <c r="AB17" s="386" cm="1">
        <f t="array" ref="AB17">_xll.FDS(B17,"FE_VALUATION(PE,MEAN,ANN,+1,NOW,,,'')")</f>
        <v>5.5006313000000002</v>
      </c>
      <c r="AC17" s="386" cm="1">
        <f t="array" ref="AC17">_xll.FDS(B17,"FE_VALUATION(PE,MEAN,ANN,+2,NOW,,,'')")</f>
        <v>3.9630952000000002</v>
      </c>
    </row>
    <row r="18" spans="1:29" ht="15.75" customHeight="1" x14ac:dyDescent="0.25">
      <c r="A18" s="213">
        <f t="shared" si="13"/>
        <v>6</v>
      </c>
      <c r="B18" s="233" t="str">
        <f t="shared" si="0"/>
        <v>GPRK-US</v>
      </c>
      <c r="C18" s="216" t="str">
        <f t="shared" si="1"/>
        <v>GeoPark Ltd</v>
      </c>
      <c r="D18" s="343">
        <f t="shared" si="2"/>
        <v>9.4600000000000009</v>
      </c>
      <c r="E18" s="343">
        <f t="shared" si="2"/>
        <v>56.903084999999997</v>
      </c>
      <c r="F18" s="343">
        <f t="shared" si="2"/>
        <v>538.30318410000007</v>
      </c>
      <c r="G18" s="343">
        <f t="shared" si="2"/>
        <v>913.36318410000013</v>
      </c>
      <c r="I18" s="231">
        <f t="shared" si="3"/>
        <v>688.54300000000001</v>
      </c>
      <c r="J18" s="231">
        <f t="shared" si="4"/>
        <v>1049.579</v>
      </c>
      <c r="K18" s="231">
        <f t="shared" si="5"/>
        <v>756.625</v>
      </c>
      <c r="L18" s="231">
        <f t="shared" si="6"/>
        <v>621.25199999999995</v>
      </c>
      <c r="M18" s="231">
        <f t="shared" si="7"/>
        <v>456.05500000000001</v>
      </c>
      <c r="N18" s="231">
        <f t="shared" si="8"/>
        <v>224.435</v>
      </c>
      <c r="O18" s="231">
        <f t="shared" si="9"/>
        <v>111.068</v>
      </c>
      <c r="P18" s="239"/>
      <c r="Q18" s="232">
        <f t="shared" si="10"/>
        <v>0.52434778946267691</v>
      </c>
      <c r="R18" s="232">
        <f t="shared" si="10"/>
        <v>-0.27911572163696108</v>
      </c>
      <c r="S18" s="232">
        <f t="shared" si="11"/>
        <v>0.5919058975074768</v>
      </c>
      <c r="T18" s="232">
        <f t="shared" si="11"/>
        <v>0.60274905005782253</v>
      </c>
      <c r="U18" s="232">
        <f t="shared" si="12"/>
        <v>0.21383335604085069</v>
      </c>
      <c r="V18" s="232">
        <f t="shared" si="12"/>
        <v>0.14679398645299852</v>
      </c>
      <c r="W18" s="239"/>
      <c r="X18" s="386" cm="1">
        <f t="array" ref="X18">_xll.FDS(B18,"FE_VALUATION(FFEV_SALES,MEAN,ANN,+1,NOW,,,'')")</f>
        <v>1.1866474</v>
      </c>
      <c r="Y18" s="386" cm="1">
        <f t="array" ref="Y18">_xll.FDS(B18,"FE_VALUATION(FFEV_SALES,MEAN,ANN,+2,NOW,,,'')")</f>
        <v>1.0255797</v>
      </c>
      <c r="Z18" s="386" cm="1">
        <f t="array" ref="Z18">_xll.FDS(B18,"FE_VALUATION(FFEV_EBITDA,MEAN,ANN,+1,NOW,,,'')")</f>
        <v>1.8665951000000001</v>
      </c>
      <c r="AA18" s="386" cm="1">
        <f t="array" ref="AA18">_xll.FDS(B18,"FE_VALUATION(FFEV_EBITDA,MEAN,ANN,+2,NOW,,,'')")</f>
        <v>1.7578541000000001</v>
      </c>
      <c r="AB18" s="386" cm="1">
        <f t="array" ref="AB18">_xll.FDS(B18,"FE_VALUATION(PE,MEAN,ANN,+1,NOW,,,'')")</f>
        <v>3.0404260000000001</v>
      </c>
      <c r="AC18" s="386" cm="1">
        <f t="array" ref="AC18">_xll.FDS(B18,"FE_VALUATION(PE,MEAN,ANN,+2,NOW,,,'')")</f>
        <v>2.9346583000000002</v>
      </c>
    </row>
    <row r="19" spans="1:29" ht="15.75" customHeight="1" x14ac:dyDescent="0.25">
      <c r="A19" s="213">
        <f>A18+1</f>
        <v>7</v>
      </c>
      <c r="B19" s="233" t="str">
        <f t="shared" si="0"/>
        <v>YPFD-AR</v>
      </c>
      <c r="C19" s="216" t="str">
        <f t="shared" si="1"/>
        <v>YPF SA Class D</v>
      </c>
      <c r="D19" s="343">
        <f t="shared" si="2"/>
        <v>27.238714000000002</v>
      </c>
      <c r="E19" s="343">
        <f t="shared" si="2"/>
        <v>395.15241900000001</v>
      </c>
      <c r="F19" s="343">
        <f t="shared" si="2"/>
        <v>10763.443727549167</v>
      </c>
      <c r="G19" s="343">
        <f t="shared" si="2"/>
        <v>18601.088970652789</v>
      </c>
      <c r="I19" s="231">
        <f t="shared" si="3"/>
        <v>13055.691797180099</v>
      </c>
      <c r="J19" s="231">
        <f t="shared" si="4"/>
        <v>18997.671391504799</v>
      </c>
      <c r="K19" s="231">
        <f t="shared" si="5"/>
        <v>18296.0199164962</v>
      </c>
      <c r="L19" s="231">
        <f t="shared" si="6"/>
        <v>5709.0801099999999</v>
      </c>
      <c r="M19" s="231">
        <f t="shared" si="7"/>
        <v>6947.74226</v>
      </c>
      <c r="N19" s="231">
        <f t="shared" si="8"/>
        <v>2210.524749876</v>
      </c>
      <c r="O19" s="231">
        <f t="shared" si="9"/>
        <v>-5302.5214448678298</v>
      </c>
      <c r="P19" s="239"/>
      <c r="Q19" s="232">
        <f>J19/I19-1</f>
        <v>0.45512560242944056</v>
      </c>
      <c r="R19" s="232">
        <f>K19/J19-1</f>
        <v>-3.693355151528499E-2</v>
      </c>
      <c r="S19" s="232">
        <f>L19/J19</f>
        <v>0.30051473111346338</v>
      </c>
      <c r="T19" s="232">
        <f>M19/K19</f>
        <v>0.37974063712817246</v>
      </c>
      <c r="U19" s="232">
        <f>N19/J19</f>
        <v>0.11635766849112264</v>
      </c>
      <c r="V19" s="232">
        <f>O19/K19</f>
        <v>-0.28981830305546014</v>
      </c>
      <c r="W19" s="239"/>
      <c r="X19" s="386" cm="1">
        <f t="array" ref="X19">_xll.FDS(B19,"FE_VALUATION(FFEV_SALES,MEAN,ANN,+1,NOW,,,'')")</f>
        <v>1.0323416000000001</v>
      </c>
      <c r="Y19" s="386" cm="1">
        <f t="array" ref="Y19">_xll.FDS(B19,"FE_VALUATION(FFEV_SALES,MEAN,ANN,+2,NOW,,,'')")</f>
        <v>1.0136117</v>
      </c>
      <c r="Z19" s="386" cm="1">
        <f t="array" ref="Z19">_xll.FDS(B19,"FE_VALUATION(FFEV_EBITDA,MEAN,ANN,+1,NOW,,,'')")</f>
        <v>3.4059900000000001</v>
      </c>
      <c r="AA19" s="386" cm="1">
        <f t="array" ref="AA19">_xll.FDS(B19,"FE_VALUATION(FFEV_EBITDA,MEAN,ANN,+2,NOW,,,'')")</f>
        <v>3.0590991999999999</v>
      </c>
      <c r="AB19" s="386" cm="1">
        <f t="array" ref="AB19">_xll.FDS(B19,"FE_VALUATION(PE,MEAN,ANN,+1,NOW,,,'')")</f>
        <v>6.2385845</v>
      </c>
      <c r="AC19" s="386" cm="1">
        <f t="array" ref="AC19">_xll.FDS(B19,"FE_VALUATION(PE,MEAN,ANN,+2,NOW,,,'')")</f>
        <v>6.0456909999999997</v>
      </c>
    </row>
    <row r="20" spans="1:29" ht="15.75" customHeight="1" x14ac:dyDescent="0.25">
      <c r="A20" s="213">
        <f t="shared" ref="A20:A22" si="14">A19+1</f>
        <v>8</v>
      </c>
      <c r="B20" s="233" t="str">
        <f t="shared" si="0"/>
        <v>PETR4-BR</v>
      </c>
      <c r="C20" s="216" t="str">
        <f t="shared" si="1"/>
        <v>Petroleo Brasileiro SA Pfd</v>
      </c>
      <c r="D20" s="343">
        <f t="shared" si="2"/>
        <v>6.5040079999999998</v>
      </c>
      <c r="E20" s="343">
        <f t="shared" si="2"/>
        <v>12940.137261</v>
      </c>
      <c r="F20" s="343">
        <f t="shared" si="2"/>
        <v>84162.756266642085</v>
      </c>
      <c r="G20" s="343">
        <f t="shared" si="2"/>
        <v>129550.89361839349</v>
      </c>
      <c r="I20" s="231">
        <f t="shared" si="3"/>
        <v>83886.749622523799</v>
      </c>
      <c r="J20" s="231">
        <f t="shared" si="4"/>
        <v>124165.765406013</v>
      </c>
      <c r="K20" s="231">
        <f t="shared" si="5"/>
        <v>102503.757876456</v>
      </c>
      <c r="L20" s="231">
        <f t="shared" si="6"/>
        <v>65612.739589999997</v>
      </c>
      <c r="M20" s="231">
        <f t="shared" si="7"/>
        <v>52730.793250000002</v>
      </c>
      <c r="N20" s="231">
        <f t="shared" si="8"/>
        <v>36465.764479994803</v>
      </c>
      <c r="O20" s="231">
        <f t="shared" si="9"/>
        <v>24946.7440125346</v>
      </c>
      <c r="P20" s="239"/>
      <c r="Q20" s="232">
        <f t="shared" ref="Q20:R22" si="15">J20/I20-1</f>
        <v>0.48015945265179494</v>
      </c>
      <c r="R20" s="232">
        <f t="shared" si="15"/>
        <v>-0.1744603873597832</v>
      </c>
      <c r="S20" s="232">
        <f t="shared" ref="S20:T22" si="16">L20/J20</f>
        <v>0.52842858396153825</v>
      </c>
      <c r="T20" s="232">
        <f t="shared" si="16"/>
        <v>0.51442790335115796</v>
      </c>
      <c r="U20" s="232">
        <f t="shared" ref="U20:V22" si="17">N20/J20</f>
        <v>0.29368614094838791</v>
      </c>
      <c r="V20" s="232">
        <f t="shared" si="17"/>
        <v>0.2433739457884265</v>
      </c>
      <c r="W20" s="239"/>
      <c r="X20" s="386" cm="1">
        <f t="array" ref="X20">_xll.FDS(B20,"FE_VALUATION(FFEV_SALES,MEAN,ANN,+1,NOW,,,'')")</f>
        <v>1.3526425</v>
      </c>
      <c r="Y20" s="386" cm="1">
        <f t="array" ref="Y20">_xll.FDS(B20,"FE_VALUATION(FFEV_SALES,MEAN,ANN,+2,NOW,,,'')")</f>
        <v>1.3832792</v>
      </c>
      <c r="Z20" s="386" cm="1">
        <f t="array" ref="Z20">_xll.FDS(B20,"FE_VALUATION(FFEV_EBITDA,MEAN,ANN,+1,NOW,,,'')")</f>
        <v>2.5735592999999999</v>
      </c>
      <c r="AA20" s="386" cm="1">
        <f t="array" ref="AA20">_xll.FDS(B20,"FE_VALUATION(FFEV_EBITDA,MEAN,ANN,+2,NOW,,,'')")</f>
        <v>2.6248813000000002</v>
      </c>
      <c r="AB20" s="386" cm="1">
        <f t="array" ref="AB20">_xll.FDS(B20,"FE_VALUATION(PE,MEAN,ANN,+1,NOW,,,'')")</f>
        <v>4.0104990000000003</v>
      </c>
      <c r="AC20" s="386" cm="1">
        <f t="array" ref="AC20">_xll.FDS(B20,"FE_VALUATION(PE,MEAN,ANN,+2,NOW,,,'')")</f>
        <v>3.9579751000000001</v>
      </c>
    </row>
    <row r="21" spans="1:29" ht="15.75" customHeight="1" x14ac:dyDescent="0.25">
      <c r="A21" s="213">
        <f t="shared" si="14"/>
        <v>9</v>
      </c>
      <c r="B21" s="233" t="str">
        <f t="shared" si="0"/>
        <v>ECOPETROL-CO</v>
      </c>
      <c r="C21" s="216" t="str">
        <f t="shared" si="1"/>
        <v>Ecopetrol SA</v>
      </c>
      <c r="D21" s="343">
        <f t="shared" si="2"/>
        <v>0.52342445000000004</v>
      </c>
      <c r="E21" s="343">
        <f t="shared" si="2"/>
        <v>41116.694689999997</v>
      </c>
      <c r="F21" s="343">
        <f t="shared" si="2"/>
        <v>21521.483303931171</v>
      </c>
      <c r="G21" s="343">
        <f t="shared" si="2"/>
        <v>45283.200671673847</v>
      </c>
      <c r="I21" s="231">
        <f t="shared" si="3"/>
        <v>21579.941137658101</v>
      </c>
      <c r="J21" s="231">
        <f t="shared" si="4"/>
        <v>29260.5018042626</v>
      </c>
      <c r="K21" s="231">
        <f t="shared" si="5"/>
        <v>28466.475600396599</v>
      </c>
      <c r="L21" s="231">
        <f t="shared" si="6"/>
        <v>8832.8347900000008</v>
      </c>
      <c r="M21" s="231">
        <f t="shared" si="7"/>
        <v>8611.6396700000005</v>
      </c>
      <c r="N21" s="231">
        <f>INDEX($P$39:$P$49,MATCH($B21,$B$39:$B$49,0))</f>
        <v>7841.4218506379502</v>
      </c>
      <c r="O21" s="231">
        <f>INDEX($Q$39:$Q$49,MATCH($B21,$B$39:$B$49,0))</f>
        <v>4407.2178460088298</v>
      </c>
      <c r="P21" s="239"/>
      <c r="Q21" s="232">
        <f t="shared" si="15"/>
        <v>0.35591203041798503</v>
      </c>
      <c r="R21" s="232">
        <f t="shared" si="15"/>
        <v>-2.7136452039599912E-2</v>
      </c>
      <c r="S21" s="232">
        <f t="shared" si="16"/>
        <v>0.30186887597099427</v>
      </c>
      <c r="T21" s="232">
        <f t="shared" si="16"/>
        <v>0.30251864652609195</v>
      </c>
      <c r="U21" s="232">
        <f>N21/J21</f>
        <v>0.2679865814705758</v>
      </c>
      <c r="V21" s="232">
        <f t="shared" si="17"/>
        <v>0.15482133819008587</v>
      </c>
      <c r="W21" s="239"/>
      <c r="X21" s="386" cm="1">
        <f t="array" ref="X21">_xll.FDS(B21,"FE_VALUATION(FFEV_SALES,MEAN,ANN,+1,NOW,,,'')")</f>
        <v>1.4662002000000001</v>
      </c>
      <c r="Y21" s="386" cm="1">
        <f t="array" ref="Y21">_xll.FDS(B21,"FE_VALUATION(FFEV_SALES,MEAN,ANN,+2,NOW,,,'')")</f>
        <v>1.4820309</v>
      </c>
      <c r="Z21" s="386" cm="1">
        <f t="array" ref="Z21">_xll.FDS(B21,"FE_VALUATION(FFEV_EBITDA,MEAN,ANN,+1,NOW,,,'')")</f>
        <v>3.4523226999999999</v>
      </c>
      <c r="AA21" s="386" cm="1">
        <f t="array" ref="AA21">_xll.FDS(B21,"FE_VALUATION(FFEV_EBITDA,MEAN,ANN,+2,NOW,,,'')")</f>
        <v>3.5563812000000001</v>
      </c>
      <c r="AB21" s="386" cm="1">
        <f t="array" ref="AB21">_xll.FDS(B21,"FE_VALUATION(PE,MEAN,ANN,+1,NOW,,,'')")</f>
        <v>5.1769369999999997</v>
      </c>
      <c r="AC21" s="386" cm="1">
        <f t="array" ref="AC21">_xll.FDS(B21,"FE_VALUATION(PE,MEAN,ANN,+2,NOW,,,'')")</f>
        <v>5.3464336000000001</v>
      </c>
    </row>
    <row r="22" spans="1:29" ht="15.75" customHeight="1" x14ac:dyDescent="0.25">
      <c r="A22" s="213">
        <f t="shared" si="14"/>
        <v>10</v>
      </c>
      <c r="B22" s="233" t="str">
        <f t="shared" si="0"/>
        <v>PAMP-AR</v>
      </c>
      <c r="C22" s="216" t="str">
        <f>VLOOKUP($B22,$B$37:$Q$57,C$35,0)</f>
        <v>Pampa Energia SA</v>
      </c>
      <c r="D22" s="343">
        <f t="shared" si="2"/>
        <v>2.5254793000000002</v>
      </c>
      <c r="E22" s="343">
        <f t="shared" si="2"/>
        <v>1359.641441</v>
      </c>
      <c r="F22" s="343">
        <f t="shared" si="2"/>
        <v>3433.7463146676714</v>
      </c>
      <c r="G22" s="343">
        <f t="shared" si="2"/>
        <v>4169.4434808832975</v>
      </c>
      <c r="I22" s="231">
        <f t="shared" si="3"/>
        <v>1519.1315035391599</v>
      </c>
      <c r="J22" s="231">
        <f t="shared" si="4"/>
        <v>1852.0544562991699</v>
      </c>
      <c r="K22" s="231">
        <f t="shared" si="5"/>
        <v>1744.8237075996601</v>
      </c>
      <c r="L22" s="231">
        <f t="shared" si="6"/>
        <v>766.44962999999996</v>
      </c>
      <c r="M22" s="231">
        <f t="shared" si="7"/>
        <v>1041.3710000000001</v>
      </c>
      <c r="N22" s="231">
        <f>INDEX($P$39:$P$49,MATCH($B22,$B$39:$B$49,0))</f>
        <v>496.00052845012402</v>
      </c>
      <c r="O22" s="231">
        <f>INDEX($Q$39:$Q$49,MATCH($B22,$B$39:$B$49,0))</f>
        <v>117.135132137686</v>
      </c>
      <c r="P22" s="239"/>
      <c r="Q22" s="232">
        <f t="shared" si="15"/>
        <v>0.21915347814484187</v>
      </c>
      <c r="R22" s="232">
        <f t="shared" si="15"/>
        <v>-5.7898269856374251E-2</v>
      </c>
      <c r="S22" s="232">
        <f t="shared" si="16"/>
        <v>0.41383752372570204</v>
      </c>
      <c r="T22" s="232">
        <f t="shared" si="16"/>
        <v>0.59683450853187103</v>
      </c>
      <c r="U22" s="232">
        <f t="shared" si="17"/>
        <v>0.26781098512688822</v>
      </c>
      <c r="V22" s="232">
        <f t="shared" si="17"/>
        <v>6.7132932471915943E-2</v>
      </c>
      <c r="W22" s="239"/>
      <c r="X22" s="386" cm="1">
        <f t="array" ref="X22">_xll.FDS(B22,"FE_VALUATION(FFEV_SALES,MEAN,ANN,+1,NOW,,,'')")</f>
        <v>2.1213886999999998</v>
      </c>
      <c r="Y22" s="386" cm="1">
        <f t="array" ref="Y22">_xll.FDS(B22,"FE_VALUATION(FFEV_SALES,MEAN,ANN,+2,NOW,,,'')")</f>
        <v>1.7420076</v>
      </c>
      <c r="Z22" s="386" cm="1">
        <f t="array" ref="Z22">_xll.FDS(B22,"FE_VALUATION(FFEV_EBITDA,MEAN,ANN,+1,NOW,,,'')")</f>
        <v>4.60161</v>
      </c>
      <c r="AA22" s="386" cm="1">
        <f t="array" ref="AA22">_xll.FDS(B22,"FE_VALUATION(FFEV_EBITDA,MEAN,ANN,+2,NOW,,,'')")</f>
        <v>3.7003759999999999</v>
      </c>
      <c r="AB22" s="386" cm="1">
        <f t="array" ref="AB22">_xll.FDS(B22,"FE_VALUATION(PE,MEAN,ANN,+1,NOW,,,'')")</f>
        <v>4.8769273999999996</v>
      </c>
      <c r="AC22" s="386" cm="1">
        <f t="array" ref="AC22">_xll.FDS(B22,"FE_VALUATION(PE,MEAN,ANN,+2,NOW,,,'')")</f>
        <v>6.4064093</v>
      </c>
    </row>
    <row r="23" spans="1:29" ht="5.25" customHeight="1" x14ac:dyDescent="0.25">
      <c r="B23" s="233"/>
      <c r="D23" s="213"/>
      <c r="E23" s="213"/>
      <c r="F23" s="236"/>
      <c r="G23" s="236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</row>
    <row r="24" spans="1:29" outlineLevel="1" x14ac:dyDescent="0.25">
      <c r="B24" s="240" t="s">
        <v>303</v>
      </c>
      <c r="C24" s="241"/>
      <c r="D24" s="241"/>
      <c r="E24" s="241"/>
      <c r="F24" s="241"/>
      <c r="G24" s="241"/>
      <c r="H24" s="242"/>
      <c r="I24" s="242"/>
      <c r="J24" s="242"/>
      <c r="K24" s="242"/>
      <c r="L24" s="242"/>
      <c r="M24" s="242"/>
      <c r="N24" s="242"/>
      <c r="O24" s="242"/>
      <c r="P24" s="242"/>
      <c r="Q24" s="242">
        <f>AVERAGE(Q13:Q22)</f>
        <v>0.59946167421359908</v>
      </c>
      <c r="R24" s="242">
        <f t="shared" ref="R24:V24" si="18">AVERAGE(R13:R22)</f>
        <v>-1.0645348668901789E-2</v>
      </c>
      <c r="S24" s="242">
        <f t="shared" si="18"/>
        <v>0.53588454427239562</v>
      </c>
      <c r="T24" s="242">
        <f t="shared" si="18"/>
        <v>0.54028758865781945</v>
      </c>
      <c r="U24" s="242">
        <f t="shared" si="18"/>
        <v>0.29743238082669787</v>
      </c>
      <c r="V24" s="242">
        <f t="shared" si="18"/>
        <v>0.18357711505098068</v>
      </c>
      <c r="W24" s="242"/>
      <c r="X24" s="243">
        <f t="shared" ref="X24:AC24" si="19">AVERAGE(X13:X22)</f>
        <v>2.3400880199999996</v>
      </c>
      <c r="Y24" s="243">
        <f t="shared" si="19"/>
        <v>2.0023906299999998</v>
      </c>
      <c r="Z24" s="243">
        <f t="shared" si="19"/>
        <v>4.1402932000000003</v>
      </c>
      <c r="AA24" s="243">
        <f t="shared" si="19"/>
        <v>3.5780227999999994</v>
      </c>
      <c r="AB24" s="243">
        <f>AVERAGE(AB13:AB22)</f>
        <v>6.9756386800000012</v>
      </c>
      <c r="AC24" s="243">
        <f t="shared" si="19"/>
        <v>6.5604104100000002</v>
      </c>
    </row>
    <row r="25" spans="1:29" outlineLevel="1" x14ac:dyDescent="0.25">
      <c r="B25" s="244" t="s">
        <v>304</v>
      </c>
      <c r="C25" s="245"/>
      <c r="D25" s="245"/>
      <c r="E25" s="245"/>
      <c r="F25" s="245"/>
      <c r="G25" s="245"/>
      <c r="H25" s="246"/>
      <c r="I25" s="246"/>
      <c r="J25" s="246"/>
      <c r="K25" s="246"/>
      <c r="L25" s="246"/>
      <c r="M25" s="246"/>
      <c r="N25" s="246"/>
      <c r="O25" s="246"/>
      <c r="P25" s="246"/>
      <c r="Q25" s="246">
        <f>MEDIAN(Q13:Q22)</f>
        <v>0.48867658125839486</v>
      </c>
      <c r="R25" s="246">
        <f t="shared" ref="R25:V25" si="20">MEDIAN(R13:R22)</f>
        <v>-7.9667079339976521E-2</v>
      </c>
      <c r="S25" s="246">
        <f t="shared" si="20"/>
        <v>0.53499588475425497</v>
      </c>
      <c r="T25" s="246">
        <f t="shared" si="20"/>
        <v>0.52329481791542776</v>
      </c>
      <c r="U25" s="246">
        <f t="shared" si="20"/>
        <v>0.26789878329873201</v>
      </c>
      <c r="V25" s="246">
        <f t="shared" si="20"/>
        <v>0.19909764198925617</v>
      </c>
      <c r="W25" s="246"/>
      <c r="X25" s="247">
        <f t="shared" ref="X25:AC25" si="21">MEDIAN(X13:X22)</f>
        <v>1.918539</v>
      </c>
      <c r="Y25" s="247">
        <f t="shared" si="21"/>
        <v>1.6120192499999999</v>
      </c>
      <c r="Z25" s="247">
        <f t="shared" si="21"/>
        <v>3.8173919999999999</v>
      </c>
      <c r="AA25" s="247">
        <f t="shared" si="21"/>
        <v>3.3907271000000003</v>
      </c>
      <c r="AB25" s="247">
        <f t="shared" si="21"/>
        <v>5.8696079000000001</v>
      </c>
      <c r="AC25" s="247">
        <f t="shared" si="21"/>
        <v>5.6960622999999995</v>
      </c>
    </row>
    <row r="26" spans="1:29" ht="15.75" customHeight="1" outlineLevel="1" x14ac:dyDescent="0.25">
      <c r="B26" s="226"/>
      <c r="C26" s="226"/>
      <c r="D26" s="227"/>
      <c r="E26" s="227"/>
      <c r="F26" s="227"/>
      <c r="G26" s="227"/>
      <c r="I26" s="227"/>
      <c r="J26" s="227"/>
      <c r="K26" s="227"/>
      <c r="L26" s="227"/>
      <c r="M26" s="227"/>
      <c r="N26" s="227"/>
      <c r="O26" s="227"/>
      <c r="P26" s="227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</row>
    <row r="27" spans="1:29" ht="15.75" customHeight="1" outlineLevel="1" x14ac:dyDescent="0.25">
      <c r="A27" s="248"/>
      <c r="B27" s="219"/>
      <c r="C27" s="219"/>
      <c r="D27" s="222" t="s">
        <v>305</v>
      </c>
      <c r="E27" s="222"/>
      <c r="F27" s="222"/>
      <c r="G27" s="221"/>
      <c r="H27" s="222" t="s">
        <v>306</v>
      </c>
      <c r="I27" s="222"/>
      <c r="J27" s="222"/>
      <c r="K27" s="221"/>
      <c r="L27" s="222" t="s">
        <v>239</v>
      </c>
      <c r="M27" s="222"/>
      <c r="N27" s="222"/>
      <c r="O27" s="221"/>
      <c r="P27" s="221"/>
      <c r="Q27" s="222"/>
      <c r="R27" s="222"/>
      <c r="S27" s="222"/>
      <c r="T27" s="222" t="s">
        <v>240</v>
      </c>
      <c r="U27" s="222"/>
      <c r="V27" s="222"/>
      <c r="W27" s="221"/>
      <c r="X27" s="222" t="s">
        <v>307</v>
      </c>
      <c r="Y27" s="222"/>
      <c r="Z27" s="222"/>
      <c r="AA27" s="221"/>
      <c r="AB27" s="221"/>
      <c r="AC27" s="221"/>
    </row>
    <row r="28" spans="1:29" ht="15.75" customHeight="1" outlineLevel="1" x14ac:dyDescent="0.25">
      <c r="B28" s="223" t="s">
        <v>308</v>
      </c>
      <c r="C28" s="223"/>
      <c r="D28" s="224" t="s">
        <v>237</v>
      </c>
      <c r="E28" s="224" t="s">
        <v>230</v>
      </c>
      <c r="F28" s="224" t="s">
        <v>244</v>
      </c>
      <c r="G28" s="224"/>
      <c r="H28" s="224" t="s">
        <v>237</v>
      </c>
      <c r="I28" s="224" t="s">
        <v>230</v>
      </c>
      <c r="J28" s="224" t="s">
        <v>309</v>
      </c>
      <c r="K28" s="224"/>
      <c r="L28" s="224" t="s">
        <v>237</v>
      </c>
      <c r="M28" s="224" t="s">
        <v>230</v>
      </c>
      <c r="N28" s="224" t="s">
        <v>283</v>
      </c>
      <c r="O28" s="224"/>
      <c r="P28" s="224" t="s">
        <v>256</v>
      </c>
      <c r="Q28" s="224" t="s">
        <v>310</v>
      </c>
      <c r="R28" s="224" t="s">
        <v>311</v>
      </c>
      <c r="S28" s="224"/>
      <c r="T28" s="224" t="s">
        <v>237</v>
      </c>
      <c r="U28" s="224" t="s">
        <v>230</v>
      </c>
      <c r="V28" s="224" t="s">
        <v>283</v>
      </c>
      <c r="W28" s="224"/>
      <c r="X28" s="224" t="s">
        <v>237</v>
      </c>
      <c r="Y28" s="224" t="s">
        <v>230</v>
      </c>
      <c r="Z28" s="224" t="s">
        <v>283</v>
      </c>
      <c r="AA28" s="224"/>
      <c r="AB28" s="224"/>
      <c r="AC28" s="224"/>
    </row>
    <row r="29" spans="1:29" ht="15.75" customHeight="1" outlineLevel="1" x14ac:dyDescent="0.25">
      <c r="B29" s="226" t="s">
        <v>312</v>
      </c>
      <c r="C29" s="226"/>
      <c r="D29" s="249">
        <f>MIN(X13:X22)</f>
        <v>1.0323416000000001</v>
      </c>
      <c r="E29" s="249">
        <f>MIN(Z13:Z22)</f>
        <v>1.8665951000000001</v>
      </c>
      <c r="F29" s="249">
        <f>MIN(AB13:AB22)</f>
        <v>3.0404260000000001</v>
      </c>
      <c r="G29" s="227"/>
      <c r="H29" s="236">
        <f>K11</f>
        <v>1168.7739999999999</v>
      </c>
      <c r="I29" s="236">
        <f>M11</f>
        <v>729.45100000000002</v>
      </c>
      <c r="J29" s="250" cm="1">
        <f t="array" ref="J29">_xll.FDS(B11,"FF_EPS(ANN_R,NOW,,,,USD)")</f>
        <v>4.2373000000000003</v>
      </c>
      <c r="L29" s="236">
        <f>H29*D29</f>
        <v>1206.5740211984</v>
      </c>
      <c r="M29" s="236">
        <f t="shared" ref="L29:M32" si="22">I29*E29</f>
        <v>1361.5896622901</v>
      </c>
      <c r="N29" s="236" t="s">
        <v>238</v>
      </c>
      <c r="P29" s="251" cm="1">
        <f t="array" ref="P29">_xll.FDS(B11,"FF_CASH_ST(QTR_R,0)")</f>
        <v>328.24099999999999</v>
      </c>
      <c r="Q29" s="251" cm="1">
        <f t="array" ref="Q29">_xll.FDS(B11,"FF_DEBT(QTR_R,0)")</f>
        <v>959.63599999999997</v>
      </c>
      <c r="R29" s="252" cm="1">
        <f t="array" ref="R29">_xll.FDS(B11,"FREF_SHARES_COMPANY(0,,,,0,""LEGACY"")")</f>
        <v>95.164400193359398</v>
      </c>
      <c r="S29" s="253"/>
      <c r="T29" s="254">
        <f>L29+P29-Q29</f>
        <v>575.17902119840005</v>
      </c>
      <c r="U29" s="254">
        <f>M29+P29-Q29</f>
        <v>730.19466229010004</v>
      </c>
      <c r="V29" s="254">
        <f>F29*J29*R29</f>
        <v>1226.0217236236506</v>
      </c>
      <c r="W29" s="228"/>
      <c r="X29" s="255">
        <f t="shared" ref="X29:Z32" si="23">T29/$R29</f>
        <v>6.0440566013102055</v>
      </c>
      <c r="Y29" s="255">
        <f t="shared" si="23"/>
        <v>7.6729812913910767</v>
      </c>
      <c r="Z29" s="255">
        <f>V29/$R29</f>
        <v>12.883197089800003</v>
      </c>
      <c r="AB29" s="228"/>
      <c r="AC29" s="228"/>
    </row>
    <row r="30" spans="1:29" ht="15.75" customHeight="1" outlineLevel="1" x14ac:dyDescent="0.25">
      <c r="B30" s="226" t="s">
        <v>303</v>
      </c>
      <c r="C30" s="226"/>
      <c r="D30" s="249">
        <f>X24</f>
        <v>2.3400880199999996</v>
      </c>
      <c r="E30" s="249">
        <f>Z24</f>
        <v>4.1402932000000003</v>
      </c>
      <c r="F30" s="249">
        <f>AB24</f>
        <v>6.9756386800000012</v>
      </c>
      <c r="G30" s="227"/>
      <c r="H30" s="235">
        <f t="shared" ref="H30:J32" si="24">H29</f>
        <v>1168.7739999999999</v>
      </c>
      <c r="I30" s="235">
        <f t="shared" si="24"/>
        <v>729.45100000000002</v>
      </c>
      <c r="J30" s="250">
        <f t="shared" si="24"/>
        <v>4.2373000000000003</v>
      </c>
      <c r="K30" s="236"/>
      <c r="L30" s="236">
        <f>H30*D30</f>
        <v>2735.0340354874793</v>
      </c>
      <c r="M30" s="236">
        <f t="shared" si="22"/>
        <v>3020.1410150332003</v>
      </c>
      <c r="N30" s="236" t="s">
        <v>238</v>
      </c>
      <c r="P30" s="251">
        <f>P29</f>
        <v>328.24099999999999</v>
      </c>
      <c r="Q30" s="251">
        <f t="shared" ref="P30:R32" si="25">Q29</f>
        <v>959.63599999999997</v>
      </c>
      <c r="R30" s="251">
        <f>R29</f>
        <v>95.164400193359398</v>
      </c>
      <c r="T30" s="254">
        <f>L30+P30-Q30</f>
        <v>2103.6390354874793</v>
      </c>
      <c r="U30" s="254">
        <f>M30+P30-Q30</f>
        <v>2388.7460150332004</v>
      </c>
      <c r="V30" s="254">
        <f>F30*J30*R30</f>
        <v>2812.8573291471025</v>
      </c>
      <c r="W30" s="228"/>
      <c r="X30" s="255">
        <f>T30/$R30</f>
        <v>22.105314920424117</v>
      </c>
      <c r="Y30" s="255">
        <f t="shared" si="23"/>
        <v>25.101256459134262</v>
      </c>
      <c r="Z30" s="255">
        <f t="shared" si="23"/>
        <v>29.557873778764012</v>
      </c>
      <c r="AA30" s="228"/>
      <c r="AB30" s="228"/>
      <c r="AC30" s="228"/>
    </row>
    <row r="31" spans="1:29" ht="15.75" customHeight="1" outlineLevel="1" x14ac:dyDescent="0.25">
      <c r="B31" s="226" t="s">
        <v>304</v>
      </c>
      <c r="C31" s="226"/>
      <c r="D31" s="249">
        <f>X25</f>
        <v>1.918539</v>
      </c>
      <c r="E31" s="249">
        <f>Z25</f>
        <v>3.8173919999999999</v>
      </c>
      <c r="F31" s="249">
        <f>AB25</f>
        <v>5.8696079000000001</v>
      </c>
      <c r="G31" s="227"/>
      <c r="H31" s="235">
        <f t="shared" si="24"/>
        <v>1168.7739999999999</v>
      </c>
      <c r="I31" s="235">
        <f>I30</f>
        <v>729.45100000000002</v>
      </c>
      <c r="J31" s="250">
        <f t="shared" si="24"/>
        <v>4.2373000000000003</v>
      </c>
      <c r="K31" s="236"/>
      <c r="L31" s="236">
        <f t="shared" si="22"/>
        <v>2242.3385011859996</v>
      </c>
      <c r="M31" s="236">
        <f t="shared" si="22"/>
        <v>2784.6004117920002</v>
      </c>
      <c r="N31" s="236" t="s">
        <v>238</v>
      </c>
      <c r="P31" s="251">
        <f t="shared" si="25"/>
        <v>328.24099999999999</v>
      </c>
      <c r="Q31" s="251">
        <f t="shared" si="25"/>
        <v>959.63599999999997</v>
      </c>
      <c r="R31" s="251">
        <f t="shared" si="25"/>
        <v>95.164400193359398</v>
      </c>
      <c r="T31" s="254">
        <f>L31+P31-Q31</f>
        <v>1610.9435011859996</v>
      </c>
      <c r="U31" s="254">
        <f>M31+P31-Q31</f>
        <v>2153.2054117920002</v>
      </c>
      <c r="V31" s="254">
        <f>F31*J31*R31</f>
        <v>2366.8613525055357</v>
      </c>
      <c r="W31" s="228"/>
      <c r="X31" s="255">
        <f t="shared" si="23"/>
        <v>16.928005618832366</v>
      </c>
      <c r="Y31" s="255">
        <f>U31/$R31</f>
        <v>22.626164904281627</v>
      </c>
      <c r="Z31" s="255">
        <f t="shared" si="23"/>
        <v>24.871289554670003</v>
      </c>
      <c r="AA31" s="228"/>
      <c r="AB31" s="228"/>
      <c r="AC31" s="228"/>
    </row>
    <row r="32" spans="1:29" ht="15.75" customHeight="1" outlineLevel="1" x14ac:dyDescent="0.25">
      <c r="B32" s="226" t="s">
        <v>313</v>
      </c>
      <c r="C32" s="226"/>
      <c r="D32" s="249">
        <f>MAX(X13:X22)</f>
        <v>4.5286200000000001</v>
      </c>
      <c r="E32" s="249">
        <f>MAX(Z13:Z22)</f>
        <v>6.8857410000000003</v>
      </c>
      <c r="F32" s="249">
        <f>MAX(AB13:AB22)</f>
        <v>13.120293</v>
      </c>
      <c r="G32" s="227"/>
      <c r="H32" s="235">
        <f t="shared" si="24"/>
        <v>1168.7739999999999</v>
      </c>
      <c r="I32" s="235">
        <f t="shared" si="24"/>
        <v>729.45100000000002</v>
      </c>
      <c r="J32" s="250">
        <f t="shared" si="24"/>
        <v>4.2373000000000003</v>
      </c>
      <c r="K32" s="236"/>
      <c r="L32" s="236">
        <f t="shared" si="22"/>
        <v>5292.9333118799996</v>
      </c>
      <c r="M32" s="236">
        <f t="shared" si="22"/>
        <v>5022.8106581910006</v>
      </c>
      <c r="N32" s="236" t="s">
        <v>238</v>
      </c>
      <c r="P32" s="251">
        <f t="shared" si="25"/>
        <v>328.24099999999999</v>
      </c>
      <c r="Q32" s="251">
        <f t="shared" si="25"/>
        <v>959.63599999999997</v>
      </c>
      <c r="R32" s="251">
        <f t="shared" si="25"/>
        <v>95.164400193359398</v>
      </c>
      <c r="T32" s="254">
        <f>L32+P32-Q32</f>
        <v>4661.53831188</v>
      </c>
      <c r="U32" s="254">
        <f>M32+P32-Q32</f>
        <v>4391.4156581910011</v>
      </c>
      <c r="V32" s="254">
        <f>F32*J32*R32</f>
        <v>5290.6284311169929</v>
      </c>
      <c r="W32" s="228"/>
      <c r="X32" s="255">
        <f t="shared" si="23"/>
        <v>48.984056037851047</v>
      </c>
      <c r="Y32" s="255">
        <f>U32/$R32</f>
        <v>46.145571760745838</v>
      </c>
      <c r="Z32" s="255">
        <f t="shared" si="23"/>
        <v>55.594617528900002</v>
      </c>
      <c r="AA32" s="228"/>
      <c r="AB32" s="228"/>
      <c r="AC32" s="228"/>
    </row>
    <row r="33" spans="1:29" ht="15.75" customHeight="1" outlineLevel="1" x14ac:dyDescent="0.25">
      <c r="B33" s="226"/>
      <c r="C33" s="226"/>
      <c r="D33" s="249"/>
      <c r="E33" s="249"/>
      <c r="F33" s="249"/>
      <c r="G33" s="227"/>
      <c r="H33" s="213"/>
      <c r="I33" s="236"/>
      <c r="J33" s="236"/>
      <c r="K33" s="236"/>
      <c r="L33" s="236"/>
      <c r="M33" s="236"/>
      <c r="N33" s="236"/>
      <c r="P33" s="236"/>
      <c r="Q33" s="236"/>
      <c r="R33" s="256"/>
      <c r="U33" s="228"/>
      <c r="V33" s="228"/>
      <c r="W33" s="228"/>
      <c r="X33" s="228"/>
      <c r="Y33" s="228"/>
      <c r="Z33" s="228"/>
      <c r="AA33" s="228"/>
      <c r="AB33" s="228"/>
      <c r="AC33" s="228"/>
    </row>
    <row r="34" spans="1:29" s="262" customFormat="1" ht="15.75" customHeight="1" outlineLevel="1" x14ac:dyDescent="0.25">
      <c r="A34" s="257"/>
      <c r="B34" s="258" t="s">
        <v>314</v>
      </c>
      <c r="C34" s="258"/>
      <c r="D34" s="259"/>
      <c r="E34" s="259"/>
      <c r="F34" s="259"/>
      <c r="G34" s="260"/>
      <c r="H34" s="257"/>
      <c r="I34" s="261"/>
      <c r="J34" s="261"/>
      <c r="K34" s="261"/>
      <c r="L34" s="261"/>
      <c r="M34" s="261"/>
      <c r="N34" s="261"/>
      <c r="P34" s="261"/>
      <c r="Q34" s="261"/>
      <c r="R34" s="263"/>
      <c r="U34" s="264"/>
      <c r="V34" s="264"/>
      <c r="W34" s="264"/>
      <c r="X34" s="264"/>
      <c r="Y34" s="264"/>
      <c r="Z34" s="264"/>
      <c r="AA34" s="264"/>
      <c r="AB34" s="264"/>
      <c r="AC34" s="264"/>
    </row>
    <row r="35" spans="1:29" ht="15.75" customHeight="1" x14ac:dyDescent="0.25">
      <c r="B35" s="265">
        <v>1</v>
      </c>
      <c r="C35" s="265">
        <f t="shared" ref="C35:O35" si="26">B35+1</f>
        <v>2</v>
      </c>
      <c r="D35" s="266">
        <f t="shared" si="26"/>
        <v>3</v>
      </c>
      <c r="E35" s="266">
        <f t="shared" si="26"/>
        <v>4</v>
      </c>
      <c r="F35" s="266">
        <f t="shared" si="26"/>
        <v>5</v>
      </c>
      <c r="G35" s="266">
        <f t="shared" si="26"/>
        <v>6</v>
      </c>
      <c r="H35" s="265">
        <f t="shared" si="26"/>
        <v>7</v>
      </c>
      <c r="I35" s="265">
        <f t="shared" si="26"/>
        <v>8</v>
      </c>
      <c r="J35" s="266">
        <f t="shared" si="26"/>
        <v>9</v>
      </c>
      <c r="K35" s="266">
        <f t="shared" si="26"/>
        <v>10</v>
      </c>
      <c r="L35" s="266">
        <f t="shared" si="26"/>
        <v>11</v>
      </c>
      <c r="M35" s="266">
        <f t="shared" si="26"/>
        <v>12</v>
      </c>
      <c r="N35" s="265">
        <f t="shared" si="26"/>
        <v>13</v>
      </c>
      <c r="O35" s="265">
        <f t="shared" si="26"/>
        <v>14</v>
      </c>
      <c r="P35" s="227"/>
      <c r="Q35" s="228"/>
      <c r="R35" s="228"/>
      <c r="S35" s="228"/>
      <c r="T35" s="228"/>
      <c r="U35" s="228"/>
      <c r="V35" s="228"/>
      <c r="W35" s="228"/>
      <c r="X35" s="228"/>
      <c r="Y35" s="228"/>
      <c r="Z35" s="228"/>
      <c r="AA35" s="228"/>
      <c r="AB35" s="228"/>
      <c r="AC35" s="228"/>
    </row>
    <row r="36" spans="1:29" ht="15.75" customHeight="1" x14ac:dyDescent="0.25">
      <c r="B36" s="219"/>
      <c r="C36" s="220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  <c r="X36" s="221"/>
      <c r="Y36" s="221"/>
      <c r="Z36" s="221"/>
      <c r="AA36" s="221"/>
      <c r="AB36" s="221"/>
      <c r="AC36" s="221"/>
    </row>
    <row r="37" spans="1:29" ht="15.75" customHeight="1" x14ac:dyDescent="0.25">
      <c r="B37" s="219"/>
      <c r="C37" s="219"/>
      <c r="D37" s="221" t="s">
        <v>279</v>
      </c>
      <c r="E37" s="221" t="s">
        <v>280</v>
      </c>
      <c r="F37" s="221" t="s">
        <v>281</v>
      </c>
      <c r="G37" s="221" t="s">
        <v>282</v>
      </c>
      <c r="H37" s="221"/>
      <c r="I37" s="221"/>
      <c r="J37" s="222"/>
      <c r="K37" s="222" t="s">
        <v>237</v>
      </c>
      <c r="L37" s="222"/>
      <c r="M37" s="222"/>
      <c r="N37" s="222" t="s">
        <v>230</v>
      </c>
      <c r="O37" s="222"/>
      <c r="P37" s="222" t="s">
        <v>283</v>
      </c>
      <c r="Q37" s="222"/>
      <c r="R37" s="221"/>
      <c r="S37" s="221"/>
      <c r="T37" s="221"/>
      <c r="U37" s="221"/>
      <c r="V37" s="221"/>
      <c r="W37" s="221"/>
      <c r="X37" s="221"/>
      <c r="Y37" s="221"/>
      <c r="Z37" s="221"/>
      <c r="AA37" s="221"/>
      <c r="AB37" s="221"/>
      <c r="AC37" s="221"/>
    </row>
    <row r="38" spans="1:29" ht="15.75" customHeight="1" x14ac:dyDescent="0.25">
      <c r="B38" s="223" t="s">
        <v>235</v>
      </c>
      <c r="C38" s="223" t="s">
        <v>290</v>
      </c>
      <c r="D38" s="224" t="s">
        <v>247</v>
      </c>
      <c r="E38" s="224" t="s">
        <v>291</v>
      </c>
      <c r="F38" s="224" t="s">
        <v>292</v>
      </c>
      <c r="G38" s="224" t="s">
        <v>293</v>
      </c>
      <c r="H38" s="224" t="s">
        <v>256</v>
      </c>
      <c r="I38" s="224" t="s">
        <v>310</v>
      </c>
      <c r="J38" s="225"/>
      <c r="K38" s="225" t="s">
        <v>294</v>
      </c>
      <c r="L38" s="225" t="s">
        <v>295</v>
      </c>
      <c r="M38" s="225" t="s">
        <v>296</v>
      </c>
      <c r="N38" s="225" t="s">
        <v>297</v>
      </c>
      <c r="O38" s="225" t="s">
        <v>298</v>
      </c>
      <c r="P38" s="225" t="str">
        <f>N38</f>
        <v>'22</v>
      </c>
      <c r="Q38" s="225" t="str">
        <f>O38</f>
        <v>'23</v>
      </c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  <c r="AC38" s="224"/>
    </row>
    <row r="39" spans="1:29" ht="15.75" customHeight="1" x14ac:dyDescent="0.25">
      <c r="B39" s="233" t="s">
        <v>353</v>
      </c>
      <c r="C39" s="346" t="str">
        <f t="array" ref="C39">_xll.FDS(B39,"FG_COMPANY_NAME")</f>
        <v>Vista Energy SAB de CV Sponsored ADR Class A</v>
      </c>
      <c r="D39" s="267">
        <f t="array" ref="D39">_xll.FDS(B39,"FG_PRICE(0,,,USD)")</f>
        <v>42.88</v>
      </c>
      <c r="E39" s="341" cm="1">
        <f t="array" ref="E39">_xll.FDS(B39,"FCS_SHARES(TOT,SHS,ANN,0,,,,USD,M)")</f>
        <v>115.02209499999999</v>
      </c>
      <c r="F39" s="236">
        <f t="shared" ref="F39" si="27">D39*E39</f>
        <v>4932.1474336000001</v>
      </c>
      <c r="G39" s="236">
        <f t="shared" ref="G39" si="28">F39+I39-H39</f>
        <v>5563.5424335999996</v>
      </c>
      <c r="H39" s="342" cm="1">
        <f t="array" ref="H39">_xll.FDS(B39,"FF_CASH_ST(QTR_R,0,,,,USD)")</f>
        <v>328.24099999999999</v>
      </c>
      <c r="I39" s="342" cm="1">
        <f t="array" ref="I39">_xll.FDS(B39,"FF_DEBT(QTR_R,0,,,,USD)")</f>
        <v>959.63599999999997</v>
      </c>
      <c r="K39" s="236" cm="1">
        <f t="array" ref="K39">_xll.FDS(B39,"FF_SALES(ANN_R,-2AY,,,,USD)")</f>
        <v>652.18700000000001</v>
      </c>
      <c r="L39" s="236">
        <f t="array" ref="L39">_xll.FDS(B39,"FF_SALES(ANN_R,-1AY,,,,USD)")</f>
        <v>1187.6600000000001</v>
      </c>
      <c r="M39" s="236">
        <f t="array" ref="M39">_xll.FDS(B39,"FF_SALES(ANN_R,0Y,,,,USD)")</f>
        <v>1168.7739999999999</v>
      </c>
      <c r="N39" s="236">
        <f t="array" ref="N39">_xll.FDS(B39,"FF_EBITDA_OPER(ANN_R,-1AY,,,,USD)")</f>
        <v>739.97500000000002</v>
      </c>
      <c r="O39" s="236">
        <f t="array" ref="O39">_xll.FDS(B39,"FF_EBITDA_OPER(ANN_R,0Y,,,,USD)")</f>
        <v>729.45100000000002</v>
      </c>
      <c r="P39" s="236">
        <f t="array" ref="P39">_xll.FDS(B39,"FF_NET_INC(ANN_R,-1AY,,,,USD)")</f>
        <v>269.53500000000003</v>
      </c>
      <c r="Q39" s="236">
        <f t="array" ref="Q39">_xll.FDS(B39,"FF_NET_INC(ANN_R,0Y,,,,USD)")</f>
        <v>396.95499999999998</v>
      </c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</row>
    <row r="40" spans="1:29" ht="15.75" customHeight="1" x14ac:dyDescent="0.25">
      <c r="B40" s="233" t="s">
        <v>355</v>
      </c>
      <c r="C40" s="349" t="str">
        <f t="array" ref="C40">_xll.FDS(B40,"FG_COMPANY_NAME")</f>
        <v>Diamondback Energy, Inc.</v>
      </c>
      <c r="D40" s="267">
        <f t="array" ref="D40">_xll.FDS(B40,"FG_PRICE(0,,,USD)")</f>
        <v>198.22</v>
      </c>
      <c r="E40" s="341" cm="1">
        <f t="array" ref="E40">_xll.FDS(B40,"FCS_SHARES(TOT,SHS,ANN,0,,,,USD,M)")</f>
        <v>179.75312299999999</v>
      </c>
      <c r="F40" s="236">
        <f t="shared" ref="F40:F49" si="29">D40*E40</f>
        <v>35630.664041059994</v>
      </c>
      <c r="G40" s="236">
        <f t="shared" ref="G40:G49" si="30">F40+I40-H40</f>
        <v>41360.664041059994</v>
      </c>
      <c r="H40" s="342" cm="1">
        <f t="array" ref="H40">_xll.FDS(B40,"FF_CASH_ST(QTR_R,0,,,,USD)")</f>
        <v>899</v>
      </c>
      <c r="I40" s="342" cm="1">
        <f t="array" ref="I40">_xll.FDS(B40,"FF_DEBT(QTR_R,0,,,,USD)")</f>
        <v>6629</v>
      </c>
      <c r="K40" s="236" cm="1">
        <f t="array" ref="K40">_xll.FDS(B40,"FF_SALES(ANN_R,-2AY,,,,USD)")</f>
        <v>6797</v>
      </c>
      <c r="L40" s="236">
        <f t="array" ref="L40">_xll.FDS(B40,"FF_SALES(ANN_R,-1AY,,,,USD)")</f>
        <v>9643</v>
      </c>
      <c r="M40" s="236">
        <f t="array" ref="M40">_xll.FDS(B40,"FF_SALES(ANN_R,0Y,,,,USD)")</f>
        <v>8412</v>
      </c>
      <c r="N40" s="236">
        <f t="array" ref="N40">_xll.FDS(B40,"FF_EBITDA_OPER(ANN_R,-1AY,,,,USD)")</f>
        <v>7866</v>
      </c>
      <c r="O40" s="236">
        <f t="array" ref="O40">_xll.FDS(B40,"FF_EBITDA_OPER(ANN_R,0Y,,,,USD)")</f>
        <v>6327</v>
      </c>
      <c r="P40" s="236">
        <f t="array" ref="P40">_xll.FDS(B40,"FF_NET_INC(ANN_R,-1AY,,,,USD)")</f>
        <v>4344</v>
      </c>
      <c r="Q40" s="236">
        <f t="array" ref="Q40">_xll.FDS(B40,"FF_NET_INC(ANN_R,0Y,,,,USD)")</f>
        <v>3121</v>
      </c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</row>
    <row r="41" spans="1:29" ht="15.75" customHeight="1" x14ac:dyDescent="0.25">
      <c r="B41" s="233" t="s">
        <v>356</v>
      </c>
      <c r="C41" s="349" t="str">
        <f t="array" ref="C41">_xll.FDS(B41,"FG_COMPANY_NAME")</f>
        <v>EOG Resources, Inc.</v>
      </c>
      <c r="D41" s="267">
        <f t="array" ref="D41">_xll.FDS(B41,"FG_PRICE(0,,,USD)")</f>
        <v>123.11</v>
      </c>
      <c r="E41" s="341" cm="1">
        <f t="array" ref="E41">_xll.FDS(B41,"FCS_SHARES(TOT,SHS,ANN,0,,,,USD,M)")</f>
        <v>587.21549100000004</v>
      </c>
      <c r="F41" s="236">
        <f>D41*E41</f>
        <v>72292.09909701001</v>
      </c>
      <c r="G41" s="236">
        <f t="shared" si="30"/>
        <v>71109.09909701001</v>
      </c>
      <c r="H41" s="342" cm="1">
        <f t="array" ref="H41">_xll.FDS(B41,"FF_CASH_ST(QTR_R,0,,,,USD)")</f>
        <v>5292</v>
      </c>
      <c r="I41" s="342" cm="1">
        <f t="array" ref="I41">_xll.FDS(B41,"FF_DEBT(QTR_R,0,,,,USD)")</f>
        <v>4109</v>
      </c>
      <c r="K41" s="236" cm="1">
        <f t="array" ref="K41">_xll.FDS(B41,"FF_SALES(ANN_R,-2AY,,,,USD)")</f>
        <v>19777</v>
      </c>
      <c r="L41" s="236">
        <f t="array" ref="L41">_xll.FDS(B41,"FF_SALES(ANN_R,-1AY,,,,USD)")</f>
        <v>29610</v>
      </c>
      <c r="M41" s="236">
        <f t="array" ref="M41">_xll.FDS(B41,"FF_SALES(ANN_R,0Y,,,,USD)")</f>
        <v>23273</v>
      </c>
      <c r="N41" s="236">
        <f t="array" ref="N41">_xll.FDS(B41,"FF_EBITDA_OPER(ANN_R,-1AY,,,,USD)")</f>
        <v>17843</v>
      </c>
      <c r="O41" s="236">
        <f t="array" ref="O41">_xll.FDS(B41,"FF_EBITDA_OPER(ANN_R,0Y,,,,USD)")</f>
        <v>12385</v>
      </c>
      <c r="P41" s="236">
        <f t="array" ref="P41">_xll.FDS(B41,"FF_NET_INC(ANN_R,-1AY,,,,USD)")</f>
        <v>7759</v>
      </c>
      <c r="Q41" s="236">
        <f t="array" ref="Q41">_xll.FDS(B41,"FF_NET_INC(ANN_R,0Y,,,,USD)")</f>
        <v>7594</v>
      </c>
      <c r="R41" s="228"/>
      <c r="S41" s="228"/>
      <c r="T41" s="228"/>
      <c r="U41" s="228"/>
      <c r="V41" s="228"/>
      <c r="W41" s="228"/>
      <c r="X41" s="228"/>
      <c r="Y41" s="228"/>
      <c r="Z41" s="228"/>
      <c r="AA41" s="228"/>
      <c r="AB41" s="228"/>
      <c r="AC41" s="228"/>
    </row>
    <row r="42" spans="1:29" ht="15.75" customHeight="1" x14ac:dyDescent="0.25">
      <c r="B42" s="233" t="s">
        <v>361</v>
      </c>
      <c r="C42" s="349" t="str">
        <f t="array" ref="C42">_xll.FDS(B42,"FG_COMPANY_NAME")</f>
        <v>Hess Corporation</v>
      </c>
      <c r="D42" s="267">
        <f t="array" ref="D42">_xll.FDS(B42,"FG_PRICE(0,,,USD)")</f>
        <v>141.22999999999999</v>
      </c>
      <c r="E42" s="341" cm="1">
        <f t="array" ref="E42">_xll.FDS(B42,"FCS_SHARES(TOT,SHS,ANN,0,,,,USD,M)")</f>
        <v>309.37536</v>
      </c>
      <c r="F42" s="236">
        <f>D42*E42</f>
        <v>43693.082092799996</v>
      </c>
      <c r="G42" s="236">
        <f>F42+I42-H42</f>
        <v>51552.082092799996</v>
      </c>
      <c r="H42" s="342" cm="1">
        <f t="array" ref="H42">_xll.FDS(B42,"FF_CASH_ST(QTR_R,0,,,,USD)")</f>
        <v>2025</v>
      </c>
      <c r="I42" s="342" cm="1">
        <f t="array" ref="I42">_xll.FDS(B42,"FF_DEBT(QTR_R,0,,,,USD)")</f>
        <v>9884</v>
      </c>
      <c r="K42" s="236" cm="1">
        <f t="array" ref="K42">_xll.FDS(B42,"FF_SALES(ANN_R,-2AY,,,,USD)")</f>
        <v>7716</v>
      </c>
      <c r="L42" s="236">
        <f t="array" ref="L42">_xll.FDS(B42,"FF_SALES(ANN_R,-1AY,,,,USD)")</f>
        <v>11909</v>
      </c>
      <c r="M42" s="236">
        <f t="array" ref="M42">_xll.FDS(B42,"FF_SALES(ANN_R,0Y,,,,USD)")</f>
        <v>10701</v>
      </c>
      <c r="N42" s="236">
        <f t="array" ref="N42">_xll.FDS(B42,"FF_EBITDA_OPER(ANN_R,-1AY,,,,USD)")</f>
        <v>6211</v>
      </c>
      <c r="O42" s="236">
        <f t="array" ref="O42">_xll.FDS(B42,"FF_EBITDA_OPER(ANN_R,0Y,,,,USD)")</f>
        <v>5359</v>
      </c>
      <c r="P42" s="236">
        <f t="array" ref="P42">_xll.FDS(B42,"FF_NET_INC(ANN_R,-1AY,,,,USD)")</f>
        <v>2096</v>
      </c>
      <c r="Q42" s="236">
        <f t="array" ref="Q42">_xll.FDS(B42,"FF_NET_INC(ANN_R,0Y,,,,USD)")</f>
        <v>1382</v>
      </c>
      <c r="R42" s="228"/>
      <c r="S42" s="228"/>
      <c r="T42" s="228"/>
      <c r="U42" s="228"/>
      <c r="V42" s="228"/>
      <c r="W42" s="228"/>
      <c r="X42" s="228"/>
      <c r="Y42" s="228"/>
      <c r="Z42" s="228"/>
      <c r="AA42" s="228"/>
      <c r="AB42" s="228"/>
      <c r="AC42" s="228"/>
    </row>
    <row r="43" spans="1:29" ht="15.75" customHeight="1" x14ac:dyDescent="0.25">
      <c r="B43" s="233" t="s">
        <v>357</v>
      </c>
      <c r="C43" s="346" t="str">
        <f t="array" ref="C43">_xll.FDS(B43,"FG_COMPANY_NAME")</f>
        <v>Prio SA</v>
      </c>
      <c r="D43" s="267">
        <f t="array" ref="D43">_xll.FDS(B43,"FG_PRICE(0,,,USD)")</f>
        <v>8.472512</v>
      </c>
      <c r="E43" s="341" cm="1">
        <f t="array" ref="E43">_xll.FDS(B43,"FCS_SHARES(TOT,SHS,ANN,0,,,,USD,M)")</f>
        <v>838.35830399999998</v>
      </c>
      <c r="F43" s="236">
        <f t="shared" si="29"/>
        <v>7103.0007909396481</v>
      </c>
      <c r="G43" s="236">
        <f t="shared" si="30"/>
        <v>8514.3566228316577</v>
      </c>
      <c r="H43" s="342" cm="1">
        <f t="array" ref="H43">_xll.FDS(B43,"FF_CASH_ST(QTR_R,0,,,,USD)")</f>
        <v>805.12091677164995</v>
      </c>
      <c r="I43" s="342" cm="1">
        <f t="array" ref="I43">_xll.FDS(B43,"FF_DEBT(QTR_R,0,,,,USD)")</f>
        <v>2216.4767486636601</v>
      </c>
      <c r="K43" s="236" cm="1">
        <f t="array" ref="K43">_xll.FDS(B43,"FF_SALES(ANN_R,-2AY,,,,USD)")</f>
        <v>814.65092076502697</v>
      </c>
      <c r="L43" s="236">
        <f t="array" ref="L43">_xll.FDS(B43,"FF_SALES(ANN_R,-1AY,,,,USD)")</f>
        <v>1232.1533740300699</v>
      </c>
      <c r="M43" s="236">
        <f t="array" ref="M43">_xll.FDS(B43,"FF_SALES(ANN_R,0Y,,,,USD)")</f>
        <v>2383.4487126280401</v>
      </c>
      <c r="N43" s="236">
        <f t="array" ref="N43">_xll.FDS(B43,"FF_EBITDA_OPER(ANN_R,-1AY,,,,USD)")</f>
        <v>912.86126999999999</v>
      </c>
      <c r="O43" s="236">
        <f t="array" ref="O43">_xll.FDS(B43,"FF_EBITDA_OPER(ANN_R,0Y,,,,USD)")</f>
        <v>1825.7264399999999</v>
      </c>
      <c r="P43" s="236">
        <f t="array" ref="P43">_xll.FDS(B43,"FF_NET_INC(ANN_R,-1AY,,,,USD)")</f>
        <v>663.58056373977695</v>
      </c>
      <c r="Q43" s="236">
        <f t="array" ref="Q43">_xll.FDS(B43,"FF_NET_INC(ANN_R,0Y,,,,USD)")</f>
        <v>1037.0428714849099</v>
      </c>
      <c r="R43" s="228"/>
      <c r="S43" s="228"/>
      <c r="T43" s="228"/>
      <c r="U43" s="228"/>
      <c r="V43" s="268"/>
      <c r="W43" s="228"/>
      <c r="X43" s="228"/>
      <c r="Y43" s="228"/>
      <c r="Z43" s="228"/>
      <c r="AA43" s="228"/>
      <c r="AB43" s="228"/>
      <c r="AC43" s="228"/>
    </row>
    <row r="44" spans="1:29" ht="15.75" customHeight="1" x14ac:dyDescent="0.25">
      <c r="B44" s="233" t="s">
        <v>358</v>
      </c>
      <c r="C44" s="346" t="str">
        <f t="array" ref="C44">_xll.FDS(B44,"FG_COMPANY_NAME")</f>
        <v>Petroreconcavo SA</v>
      </c>
      <c r="D44" s="267">
        <f t="array" ref="D44">_xll.FDS(B44,"FG_PRICE(0,,,USD)")</f>
        <v>3.5839127999999998</v>
      </c>
      <c r="E44" s="341" cm="1">
        <f t="array" ref="E44">_xll.FDS(B44,"FCS_SHARES(TOT,SHS,ANN,0,,,,USD,M)")</f>
        <v>294.79913800000003</v>
      </c>
      <c r="F44" s="236">
        <f t="shared" si="29"/>
        <v>1056.5344041071664</v>
      </c>
      <c r="G44" s="236">
        <f t="shared" si="30"/>
        <v>1099.6320980724824</v>
      </c>
      <c r="H44" s="342" cm="1">
        <f t="array" ref="H44">_xll.FDS(B44,"FF_CASH_ST(QTR_R,0,,,,USD)")</f>
        <v>137.21424022758001</v>
      </c>
      <c r="I44" s="342" cm="1">
        <f t="array" ref="I44">_xll.FDS(B44,"FF_DEBT(QTR_R,0,,,,USD)")</f>
        <v>180.31193419289599</v>
      </c>
      <c r="K44" s="236" cm="1">
        <f t="array" ref="K44">_xll.FDS(B44,"FF_SALES(ANN_R,-2AY,,,,USD)")</f>
        <v>192.84086174458301</v>
      </c>
      <c r="L44" s="236">
        <f t="array" ref="L44">_xll.FDS(B44,"FF_SALES(ANN_R,-1AY,,,,USD)")</f>
        <v>576.22812688942201</v>
      </c>
      <c r="M44" s="236">
        <f t="array" ref="M44">_xll.FDS(B44,"FF_SALES(ANN_R,0Y,,,,USD)")</f>
        <v>563.44913909331001</v>
      </c>
      <c r="N44" s="236">
        <f t="array" ref="N44">_xll.FDS(B44,"FF_EBITDA_OPER(ANN_R,-1AY,,,,USD)")</f>
        <v>312.06394</v>
      </c>
      <c r="O44" s="236">
        <f t="array" ref="O44">_xll.FDS(B44,"FF_EBITDA_OPER(ANN_R,0Y,,,,USD)")</f>
        <v>256.65519999999998</v>
      </c>
      <c r="P44" s="236">
        <f t="array" ref="P44">_xll.FDS(B44,"FF_NET_INC(ANN_R,-1AY,,,,USD)")</f>
        <v>223.32995921661001</v>
      </c>
      <c r="Q44" s="236">
        <f t="array" ref="Q44">_xll.FDS(B44,"FF_NET_INC(ANN_R,0Y,,,,USD)")</f>
        <v>141.93293105274401</v>
      </c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</row>
    <row r="45" spans="1:29" ht="15.75" customHeight="1" x14ac:dyDescent="0.25">
      <c r="B45" s="233" t="s">
        <v>359</v>
      </c>
      <c r="C45" s="346" t="str">
        <f t="array" ref="C45">_xll.FDS(B45,"FG_COMPANY_NAME")</f>
        <v>GeoPark Ltd</v>
      </c>
      <c r="D45" s="267">
        <f t="array" ref="D45">_xll.FDS(B45,"FG_PRICE(0,,,USD)")</f>
        <v>9.4600000000000009</v>
      </c>
      <c r="E45" s="341" cm="1">
        <f t="array" ref="E45">_xll.FDS(B45,"FCS_SHARES(TOT,SHS,ANN,0,,,,USD,M)")</f>
        <v>56.903084999999997</v>
      </c>
      <c r="F45" s="236">
        <f t="shared" si="29"/>
        <v>538.30318410000007</v>
      </c>
      <c r="G45" s="236">
        <f t="shared" si="30"/>
        <v>913.36318410000013</v>
      </c>
      <c r="H45" s="342" cm="1">
        <f t="array" ref="H45">_xll.FDS(B45,"FF_CASH_ST(QTR_R,0,,,,USD)")</f>
        <v>150.721</v>
      </c>
      <c r="I45" s="342" cm="1">
        <f t="array" ref="I45">_xll.FDS(B45,"FF_DEBT(QTR_R,0,,,,USD)")</f>
        <v>525.78099999999995</v>
      </c>
      <c r="K45" s="236" cm="1">
        <f t="array" ref="K45">_xll.FDS(B45,"FF_SALES(ANN_R,-2AY,,,,USD)")</f>
        <v>688.54300000000001</v>
      </c>
      <c r="L45" s="236">
        <f t="array" ref="L45">_xll.FDS(B45,"FF_SALES(ANN_R,-1AY,,,,USD)")</f>
        <v>1049.579</v>
      </c>
      <c r="M45" s="236">
        <f t="array" ref="M45">_xll.FDS(B45,"FF_SALES(ANN_R,0Y,,,,USD)")</f>
        <v>756.625</v>
      </c>
      <c r="N45" s="236">
        <f t="array" ref="N45">_xll.FDS(B45,"FF_EBITDA_OPER(ANN_R,-1AY,,,,USD)")</f>
        <v>621.25199999999995</v>
      </c>
      <c r="O45" s="236">
        <f t="array" ref="O45">_xll.FDS(B45,"FF_EBITDA_OPER(ANN_R,0Y,,,,USD)")</f>
        <v>456.05500000000001</v>
      </c>
      <c r="P45" s="236">
        <f t="array" ref="P45">_xll.FDS(B45,"FF_NET_INC(ANN_R,-1AY,,,,USD)")</f>
        <v>224.435</v>
      </c>
      <c r="Q45" s="236">
        <f t="array" ref="Q45">_xll.FDS(B45,"FF_NET_INC(ANN_R,0Y,,,,USD)")</f>
        <v>111.068</v>
      </c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</row>
    <row r="46" spans="1:29" ht="15.75" customHeight="1" x14ac:dyDescent="0.25">
      <c r="B46" s="233" t="s">
        <v>363</v>
      </c>
      <c r="C46" s="346" t="str">
        <f t="array" ref="C46">_xll.FDS(B46,"FG_COMPANY_NAME")</f>
        <v>YPF SA Class D</v>
      </c>
      <c r="D46" s="267">
        <f t="array" ref="D46">_xll.FDS(B46,"FG_PRICE(0,,,USD)")</f>
        <v>27.238714000000002</v>
      </c>
      <c r="E46" s="341" cm="1">
        <f t="array" ref="E46">_xll.FDS(B46,"FCS_SHARES(TOT,SHS,ANN,0,,,,USD,M)")</f>
        <v>395.15241900000001</v>
      </c>
      <c r="F46" s="236">
        <f t="shared" si="29"/>
        <v>10763.443727549167</v>
      </c>
      <c r="G46" s="236">
        <f t="shared" si="30"/>
        <v>18601.088970652789</v>
      </c>
      <c r="H46" s="342" cm="1">
        <f t="array" ref="H46">_xll.FDS(B46,"FF_CASH_ST(QTR_R,0,,,,USD)")</f>
        <v>1597.78543189424</v>
      </c>
      <c r="I46" s="342" cm="1">
        <f t="array" ref="I46">_xll.FDS(B46,"FF_DEBT(QTR_R,0,,,,USD)")</f>
        <v>9435.4306749978605</v>
      </c>
      <c r="K46" s="236" cm="1">
        <f t="array" ref="K46">_xll.FDS(B46,"FF_SALES(ANN_R,-2AY,,,,USD)")</f>
        <v>13055.691797180099</v>
      </c>
      <c r="L46" s="236">
        <f t="array" ref="L46">_xll.FDS(B46,"FF_SALES(ANN_R,-1AY,,,,USD)")</f>
        <v>18997.671391504799</v>
      </c>
      <c r="M46" s="236">
        <f t="array" ref="M46">_xll.FDS(B46,"FF_SALES(ANN_R,0Y,,,,USD)")</f>
        <v>18296.0199164962</v>
      </c>
      <c r="N46" s="236">
        <f t="array" ref="N46">_xll.FDS(B46,"FF_EBITDA_OPER(ANN_R,-1AY,,,,USD)")</f>
        <v>5709.0801099999999</v>
      </c>
      <c r="O46" s="236">
        <f t="array" ref="O46">_xll.FDS(B46,"FF_EBITDA_OPER(ANN_R,0Y,,,,USD)")</f>
        <v>6947.74226</v>
      </c>
      <c r="P46" s="236">
        <f t="array" ref="P46">_xll.FDS(B46,"FF_NET_INC(ANN_R,-1AY,,,,USD)")</f>
        <v>2210.524749876</v>
      </c>
      <c r="Q46" s="236">
        <f t="array" ref="Q46">_xll.FDS(B46,"FF_NET_INC(ANN_R,0Y,,,,USD)")</f>
        <v>-5302.5214448678298</v>
      </c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</row>
    <row r="47" spans="1:29" x14ac:dyDescent="0.25">
      <c r="B47" s="233" t="s">
        <v>360</v>
      </c>
      <c r="C47" s="346" t="str">
        <f t="array" ref="C47">_xll.FDS(B47,"FG_COMPANY_NAME")</f>
        <v>Petroleo Brasileiro SA Pfd</v>
      </c>
      <c r="D47" s="267">
        <f t="array" ref="D47">_xll.FDS(B47,"FG_PRICE(0,,,USD)")</f>
        <v>6.5040079999999998</v>
      </c>
      <c r="E47" s="341" cm="1">
        <f t="array" ref="E47">_xll.FDS(B47,"FCS_SHARES(TOT,SHS,ANN,0,,,,USD,M)")</f>
        <v>12940.137261</v>
      </c>
      <c r="F47" s="236">
        <f t="shared" si="29"/>
        <v>84162.756266642085</v>
      </c>
      <c r="G47" s="236">
        <f t="shared" si="30"/>
        <v>129550.89361839349</v>
      </c>
      <c r="H47" s="342" cm="1">
        <f t="array" ref="H47">_xll.FDS(B47,"FF_CASH_ST(QTR_R,0,,,,USD)")</f>
        <v>16333.967877745599</v>
      </c>
      <c r="I47" s="342" cm="1">
        <f t="array" ref="I47">_xll.FDS(B47,"FF_DEBT(QTR_R,0,,,,USD)")</f>
        <v>61722.105229497</v>
      </c>
      <c r="K47" s="236" cm="1">
        <f t="array" ref="K47">_xll.FDS(B47,"FF_SALES(ANN_R,-2AY,,,,USD)")</f>
        <v>83886.749622523799</v>
      </c>
      <c r="L47" s="236">
        <f t="array" ref="L47">_xll.FDS(B47,"FF_SALES(ANN_R,-1AY,,,,USD)")</f>
        <v>124165.765406013</v>
      </c>
      <c r="M47" s="236">
        <f t="array" ref="M47">_xll.FDS(B47,"FF_SALES(ANN_R,0Y,,,,USD)")</f>
        <v>102503.757876456</v>
      </c>
      <c r="N47" s="236">
        <f t="array" ref="N47">_xll.FDS(B47,"FF_EBITDA_OPER(ANN_R,-1AY,,,,USD)")</f>
        <v>65612.739589999997</v>
      </c>
      <c r="O47" s="236">
        <f t="array" ref="O47">_xll.FDS(B47,"FF_EBITDA_OPER(ANN_R,0Y,,,,USD)")</f>
        <v>52730.793250000002</v>
      </c>
      <c r="P47" s="236">
        <f t="array" ref="P47">_xll.FDS(B47,"FF_NET_INC(ANN_R,-1AY,,,,USD)")</f>
        <v>36465.764479994803</v>
      </c>
      <c r="Q47" s="236">
        <f t="array" ref="Q47">_xll.FDS(B47,"FF_NET_INC(ANN_R,0Y,,,,USD)")</f>
        <v>24946.7440125346</v>
      </c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</row>
    <row r="48" spans="1:29" x14ac:dyDescent="0.25">
      <c r="B48" s="233" t="s">
        <v>362</v>
      </c>
      <c r="C48" s="346" t="str">
        <f t="array" ref="C48">_xll.FDS(B48,"FG_COMPANY_NAME")</f>
        <v>Ecopetrol SA</v>
      </c>
      <c r="D48" s="267">
        <f t="array" ref="D48">_xll.FDS(B48,"FG_PRICE(0,,,USD)")</f>
        <v>0.52342445000000004</v>
      </c>
      <c r="E48" s="341" cm="1">
        <f t="array" ref="E48">_xll.FDS(B48,"FCS_SHARES(TOT,SHS,ANN,0,,,,USD,M)")</f>
        <v>41116.694689999997</v>
      </c>
      <c r="F48" s="236">
        <f t="shared" si="29"/>
        <v>21521.483303931171</v>
      </c>
      <c r="G48" s="236">
        <f t="shared" si="30"/>
        <v>45283.200671673847</v>
      </c>
      <c r="H48" s="342" cm="1">
        <f t="array" ref="H48">_xll.FDS(B48,"FF_CASH_ST(QTR_R,0,,,,USD)")</f>
        <v>4364.5290652057201</v>
      </c>
      <c r="I48" s="342" cm="1">
        <f t="array" ref="I48">_xll.FDS(B48,"FF_DEBT(QTR_R,0,,,,USD)")</f>
        <v>28126.246432948399</v>
      </c>
      <c r="K48" s="236" cm="1">
        <f t="array" ref="K48">_xll.FDS(B48,"FF_SALES(ANN_R,-2AY,,,,USD)")</f>
        <v>21579.941137658101</v>
      </c>
      <c r="L48" s="236">
        <f t="array" ref="L48">_xll.FDS(B48,"FF_SALES(ANN_R,-1AY,,,,USD)")</f>
        <v>29260.5018042626</v>
      </c>
      <c r="M48" s="236">
        <f t="array" ref="M48">_xll.FDS(B48,"FF_SALES(ANN_R,0Y,,,,USD)")</f>
        <v>28466.475600396599</v>
      </c>
      <c r="N48" s="236">
        <f t="array" ref="N48">_xll.FDS(B48,"FF_EBITDA_OPER(ANN_R,-1AY,,,,USD)")</f>
        <v>8832.8347900000008</v>
      </c>
      <c r="O48" s="236">
        <f t="array" ref="O48">_xll.FDS(B48,"FF_EBITDA_OPER(ANN_R,0Y,,,,USD)")</f>
        <v>8611.6396700000005</v>
      </c>
      <c r="P48" s="236">
        <f t="array" ref="P48">_xll.FDS(B48,"FF_NET_INC(ANN_R,-1AY,,,,USD)")</f>
        <v>7841.4218506379502</v>
      </c>
      <c r="Q48" s="236">
        <f t="array" ref="Q48">_xll.FDS(B48,"FF_NET_INC(ANN_R,0Y,,,,USD)")</f>
        <v>4407.2178460088298</v>
      </c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</row>
    <row r="49" spans="2:29" x14ac:dyDescent="0.25">
      <c r="B49" s="233" t="s">
        <v>364</v>
      </c>
      <c r="C49" s="346" t="str">
        <f t="array" ref="C49">_xll.FDS(B49,"FG_COMPANY_NAME")</f>
        <v>Pampa Energia SA</v>
      </c>
      <c r="D49" s="267">
        <f t="array" ref="D49">_xll.FDS(B49,"FG_PRICE(0,,,USD)")</f>
        <v>2.5254793000000002</v>
      </c>
      <c r="E49" s="341" cm="1">
        <f t="array" ref="E49">_xll.FDS(B49,"FCS_SHARES(TOT,SHS,ANN,0,,,,USD,M)")</f>
        <v>1359.641441</v>
      </c>
      <c r="F49" s="236">
        <f t="shared" si="29"/>
        <v>3433.7463146676714</v>
      </c>
      <c r="G49" s="236">
        <f t="shared" si="30"/>
        <v>4169.4434808832975</v>
      </c>
      <c r="H49" s="342" cm="1">
        <f t="array" ref="H49">_xll.FDS(B49,"FF_CASH_ST(QTR_R,0,,,,USD)")</f>
        <v>845.78981847758405</v>
      </c>
      <c r="I49" s="342" cm="1">
        <f t="array" ref="I49">_xll.FDS(B49,"FF_DEBT(QTR_R,0,,,,USD)")</f>
        <v>1581.4869846932099</v>
      </c>
      <c r="K49" s="236" cm="1">
        <f t="array" ref="K49">_xll.FDS(B49,"FF_SALES(ANN_R,-2AY,,,,USD)")</f>
        <v>1519.1315035391599</v>
      </c>
      <c r="L49" s="236">
        <f t="array" ref="L49">_xll.FDS(B49,"FF_SALES(ANN_R,-1AY,,,,USD)")</f>
        <v>1852.0544562991699</v>
      </c>
      <c r="M49" s="236">
        <f t="array" ref="M49">_xll.FDS(B49,"FF_SALES(ANN_R,0Y,,,,USD)")</f>
        <v>1744.8237075996601</v>
      </c>
      <c r="N49" s="236">
        <f t="array" ref="N49">_xll.FDS(B49,"FF_EBITDA_OPER(ANN_R,-1AY,,,,USD)")</f>
        <v>766.44962999999996</v>
      </c>
      <c r="O49" s="236">
        <f t="array" ref="O49">_xll.FDS(B49,"FF_EBITDA_OPER(ANN_R,0Y,,,,USD)")</f>
        <v>1041.3710000000001</v>
      </c>
      <c r="P49" s="236">
        <f t="array" ref="P49">_xll.FDS(B49,"FF_NET_INC(ANN_R,-1AY,,,,USD)")</f>
        <v>496.00052845012402</v>
      </c>
      <c r="Q49" s="236">
        <f t="array" ref="Q49">_xll.FDS(B49,"FF_NET_INC(ANN_R,0Y,,,,USD)")</f>
        <v>117.135132137686</v>
      </c>
      <c r="R49" s="228"/>
      <c r="S49" s="228"/>
      <c r="T49" s="228"/>
      <c r="U49" s="228"/>
      <c r="V49" s="228"/>
      <c r="W49" s="228"/>
      <c r="X49" s="228"/>
      <c r="Y49" s="228"/>
      <c r="Z49" s="228"/>
      <c r="AA49" s="228"/>
      <c r="AB49" s="228"/>
      <c r="AC49" s="228"/>
    </row>
    <row r="50" spans="2:29" x14ac:dyDescent="0.25">
      <c r="B50" s="233"/>
      <c r="D50" s="267"/>
      <c r="E50" s="236"/>
      <c r="F50" s="236"/>
      <c r="G50" s="236"/>
      <c r="K50" s="236"/>
      <c r="L50" s="236"/>
      <c r="M50" s="236"/>
      <c r="N50" s="236"/>
      <c r="O50" s="236"/>
      <c r="P50" s="236"/>
      <c r="Q50" s="236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</row>
    <row r="51" spans="2:29" x14ac:dyDescent="0.25">
      <c r="B51" s="233"/>
      <c r="D51" s="267"/>
      <c r="E51" s="236"/>
      <c r="F51" s="236"/>
      <c r="G51" s="236"/>
      <c r="K51" s="236"/>
      <c r="L51" s="236"/>
      <c r="M51" s="236"/>
      <c r="N51" s="236"/>
      <c r="O51" s="236"/>
      <c r="P51" s="236"/>
      <c r="Q51" s="236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</row>
    <row r="52" spans="2:29" x14ac:dyDescent="0.25">
      <c r="B52" s="233"/>
      <c r="L52" s="236"/>
      <c r="M52" s="236"/>
      <c r="N52" s="236"/>
      <c r="O52" s="236"/>
      <c r="P52" s="236"/>
      <c r="Q52" s="236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</row>
    <row r="53" spans="2:29" x14ac:dyDescent="0.25">
      <c r="B53" s="233"/>
      <c r="L53" s="236"/>
      <c r="M53" s="236"/>
      <c r="N53" s="236"/>
      <c r="O53" s="236"/>
      <c r="P53" s="236"/>
      <c r="Q53" s="236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</row>
    <row r="54" spans="2:29" x14ac:dyDescent="0.25">
      <c r="B54" s="233"/>
      <c r="L54" s="236"/>
      <c r="M54" s="236"/>
      <c r="N54" s="236"/>
      <c r="O54" s="236"/>
      <c r="P54" s="236"/>
      <c r="Q54" s="236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8"/>
      <c r="AC54" s="228"/>
    </row>
    <row r="55" spans="2:29" x14ac:dyDescent="0.25">
      <c r="B55" s="233"/>
      <c r="L55" s="236"/>
      <c r="M55" s="236"/>
      <c r="N55" s="236"/>
      <c r="O55" s="236"/>
      <c r="P55" s="236"/>
      <c r="Q55" s="236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</row>
    <row r="56" spans="2:29" x14ac:dyDescent="0.25">
      <c r="B56" s="233"/>
      <c r="L56" s="236"/>
      <c r="M56" s="236"/>
      <c r="N56" s="236"/>
      <c r="O56" s="236"/>
      <c r="P56" s="236"/>
      <c r="Q56" s="236"/>
      <c r="R56" s="228"/>
      <c r="S56" s="228"/>
      <c r="T56" s="228"/>
      <c r="U56" s="228"/>
      <c r="V56" s="228"/>
      <c r="W56" s="228"/>
      <c r="X56" s="228"/>
      <c r="Y56" s="228"/>
      <c r="Z56" s="228"/>
      <c r="AA56" s="228"/>
      <c r="AB56" s="228"/>
      <c r="AC56" s="228"/>
    </row>
    <row r="57" spans="2:29" x14ac:dyDescent="0.25">
      <c r="B57" s="233"/>
      <c r="L57" s="236"/>
      <c r="M57" s="236"/>
      <c r="N57" s="236"/>
      <c r="O57" s="236"/>
      <c r="P57" s="236"/>
      <c r="Q57" s="236"/>
      <c r="R57" s="228"/>
      <c r="S57" s="228"/>
      <c r="T57" s="228"/>
      <c r="U57" s="228"/>
      <c r="V57" s="228"/>
      <c r="W57" s="228"/>
      <c r="X57" s="228"/>
      <c r="Y57" s="228"/>
      <c r="Z57" s="228"/>
      <c r="AA57" s="228"/>
      <c r="AB57" s="228"/>
      <c r="AC57" s="228"/>
    </row>
    <row r="58" spans="2:29" x14ac:dyDescent="0.25">
      <c r="B58" s="233"/>
      <c r="L58" s="236"/>
      <c r="M58" s="236"/>
      <c r="N58" s="236"/>
      <c r="O58" s="236"/>
      <c r="P58" s="236"/>
      <c r="Q58" s="236"/>
      <c r="R58" s="228"/>
      <c r="S58" s="228"/>
      <c r="T58" s="228"/>
      <c r="U58" s="228"/>
      <c r="V58" s="228"/>
      <c r="W58" s="228"/>
      <c r="X58" s="228"/>
      <c r="Y58" s="228"/>
      <c r="Z58" s="228"/>
      <c r="AA58" s="228"/>
      <c r="AB58" s="228"/>
      <c r="AC58" s="228"/>
    </row>
    <row r="59" spans="2:29" x14ac:dyDescent="0.25">
      <c r="B59" s="233"/>
      <c r="L59" s="236"/>
      <c r="M59" s="236"/>
      <c r="N59" s="236"/>
      <c r="O59" s="236"/>
      <c r="P59" s="236"/>
      <c r="Q59" s="236"/>
      <c r="R59" s="228"/>
      <c r="S59" s="228"/>
      <c r="T59" s="228"/>
      <c r="U59" s="228"/>
      <c r="V59" s="228"/>
      <c r="W59" s="228"/>
      <c r="X59" s="228"/>
      <c r="Y59" s="228"/>
      <c r="Z59" s="228"/>
      <c r="AA59" s="228"/>
      <c r="AB59" s="228"/>
      <c r="AC59" s="228"/>
    </row>
    <row r="60" spans="2:29" x14ac:dyDescent="0.25">
      <c r="B60" s="233"/>
      <c r="L60" s="236"/>
      <c r="M60" s="236"/>
      <c r="N60" s="236"/>
      <c r="O60" s="236"/>
      <c r="P60" s="239"/>
      <c r="Q60" s="228"/>
      <c r="R60" s="228"/>
      <c r="S60" s="228"/>
      <c r="T60" s="228"/>
      <c r="U60" s="228"/>
      <c r="V60" s="228"/>
      <c r="W60" s="228"/>
      <c r="X60" s="228"/>
      <c r="Y60" s="228"/>
      <c r="Z60" s="228"/>
      <c r="AA60" s="228"/>
      <c r="AB60" s="228"/>
      <c r="AC60" s="228"/>
    </row>
    <row r="61" spans="2:29" x14ac:dyDescent="0.25">
      <c r="B61" s="233"/>
      <c r="L61" s="236"/>
      <c r="M61" s="236"/>
      <c r="N61" s="236"/>
      <c r="O61" s="236"/>
      <c r="P61" s="239"/>
      <c r="Q61" s="228"/>
      <c r="R61" s="228"/>
      <c r="S61" s="228"/>
      <c r="T61" s="228"/>
      <c r="U61" s="228"/>
      <c r="V61" s="228"/>
      <c r="W61" s="228"/>
      <c r="X61" s="228"/>
      <c r="Y61" s="228"/>
      <c r="Z61" s="228"/>
      <c r="AA61" s="228"/>
      <c r="AB61" s="228"/>
      <c r="AC61" s="228"/>
    </row>
    <row r="62" spans="2:29" x14ac:dyDescent="0.25">
      <c r="B62" s="233"/>
      <c r="L62" s="236"/>
      <c r="M62" s="236"/>
      <c r="N62" s="236"/>
      <c r="O62" s="236"/>
      <c r="P62" s="239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8"/>
      <c r="AC62" s="228"/>
    </row>
    <row r="63" spans="2:29" x14ac:dyDescent="0.25">
      <c r="B63" s="233"/>
      <c r="L63" s="236"/>
      <c r="M63" s="236"/>
      <c r="N63" s="236"/>
      <c r="O63" s="236"/>
      <c r="P63" s="239"/>
      <c r="Q63" s="228"/>
      <c r="R63" s="228"/>
      <c r="S63" s="228"/>
      <c r="T63" s="228"/>
      <c r="U63" s="228"/>
      <c r="V63" s="228"/>
      <c r="W63" s="228"/>
      <c r="X63" s="228"/>
      <c r="Y63" s="228"/>
      <c r="Z63" s="228"/>
      <c r="AA63" s="228"/>
      <c r="AB63" s="228"/>
      <c r="AC63" s="228"/>
    </row>
    <row r="64" spans="2:29" x14ac:dyDescent="0.25">
      <c r="B64" s="233"/>
      <c r="L64" s="236"/>
      <c r="M64" s="236"/>
      <c r="N64" s="236"/>
      <c r="O64" s="236"/>
      <c r="P64" s="239"/>
      <c r="Q64" s="228"/>
      <c r="R64" s="228"/>
      <c r="S64" s="228"/>
      <c r="T64" s="228"/>
      <c r="U64" s="228"/>
      <c r="V64" s="228"/>
      <c r="W64" s="228"/>
      <c r="X64" s="228"/>
      <c r="Y64" s="228"/>
      <c r="Z64" s="228"/>
      <c r="AA64" s="228"/>
      <c r="AB64" s="228"/>
      <c r="AC64" s="228"/>
    </row>
    <row r="65" spans="2:29" x14ac:dyDescent="0.25">
      <c r="B65" s="233"/>
      <c r="L65" s="236"/>
      <c r="M65" s="236"/>
      <c r="N65" s="236"/>
      <c r="O65" s="236"/>
      <c r="P65" s="239"/>
      <c r="Q65" s="228"/>
      <c r="R65" s="228"/>
      <c r="S65" s="228"/>
      <c r="T65" s="228"/>
      <c r="U65" s="228"/>
      <c r="V65" s="228"/>
      <c r="W65" s="228"/>
      <c r="X65" s="228"/>
      <c r="Y65" s="228"/>
      <c r="Z65" s="228"/>
      <c r="AA65" s="228"/>
      <c r="AB65" s="228"/>
      <c r="AC65" s="228"/>
    </row>
    <row r="66" spans="2:29" x14ac:dyDescent="0.25">
      <c r="B66" s="233"/>
      <c r="E66" s="236"/>
      <c r="F66" s="236"/>
      <c r="G66" s="236"/>
      <c r="H66" s="236"/>
      <c r="I66" s="239"/>
      <c r="J66" s="228"/>
      <c r="L66" s="236"/>
      <c r="M66" s="236"/>
      <c r="N66" s="236"/>
      <c r="O66" s="236"/>
      <c r="P66" s="237"/>
      <c r="Q66" s="228"/>
      <c r="R66" s="228"/>
      <c r="S66" s="228"/>
      <c r="T66" s="228"/>
      <c r="U66" s="228"/>
      <c r="V66" s="228"/>
      <c r="W66" s="228"/>
      <c r="X66" s="228"/>
      <c r="Y66" s="228"/>
      <c r="Z66" s="228"/>
      <c r="AA66" s="228"/>
      <c r="AB66" s="228"/>
      <c r="AC66" s="228"/>
    </row>
    <row r="67" spans="2:29" ht="18" x14ac:dyDescent="0.25">
      <c r="B67" s="233"/>
      <c r="C67" s="267"/>
      <c r="D67" s="222" t="s">
        <v>237</v>
      </c>
      <c r="E67" s="222"/>
      <c r="F67" s="222"/>
      <c r="G67" s="222" t="s">
        <v>230</v>
      </c>
      <c r="H67" s="222"/>
      <c r="I67" s="222" t="s">
        <v>283</v>
      </c>
      <c r="J67" s="222"/>
      <c r="L67" s="236"/>
      <c r="M67" s="236"/>
      <c r="N67" s="236"/>
      <c r="O67" s="236"/>
      <c r="P67" s="239"/>
      <c r="Q67" s="228"/>
      <c r="R67" s="228"/>
      <c r="S67" s="228"/>
      <c r="T67" s="228"/>
      <c r="U67" s="228"/>
      <c r="V67" s="228"/>
      <c r="W67" s="228"/>
      <c r="X67" s="228"/>
      <c r="Y67" s="228"/>
      <c r="Z67" s="228"/>
      <c r="AA67" s="228"/>
      <c r="AB67" s="228"/>
      <c r="AC67" s="228"/>
    </row>
    <row r="68" spans="2:29" x14ac:dyDescent="0.25">
      <c r="B68" s="233"/>
      <c r="C68" s="267"/>
      <c r="D68" s="225" t="s">
        <v>294</v>
      </c>
      <c r="E68" s="225" t="s">
        <v>295</v>
      </c>
      <c r="F68" s="225" t="s">
        <v>296</v>
      </c>
      <c r="G68" s="225" t="s">
        <v>297</v>
      </c>
      <c r="H68" s="225" t="s">
        <v>298</v>
      </c>
      <c r="I68" s="225" t="str">
        <f>G68</f>
        <v>'22</v>
      </c>
      <c r="J68" s="225" t="str">
        <f>H68</f>
        <v>'23</v>
      </c>
      <c r="L68" s="236"/>
      <c r="M68" s="236"/>
      <c r="N68" s="236"/>
      <c r="O68" s="236"/>
      <c r="P68" s="239"/>
      <c r="Q68" s="228"/>
      <c r="R68" s="228"/>
      <c r="S68" s="228"/>
      <c r="T68" s="228"/>
      <c r="U68" s="228"/>
      <c r="V68" s="228"/>
      <c r="W68" s="228"/>
      <c r="X68" s="228"/>
      <c r="Y68" s="228"/>
      <c r="Z68" s="228"/>
      <c r="AA68" s="228"/>
      <c r="AB68" s="228"/>
      <c r="AC68" s="228"/>
    </row>
    <row r="69" spans="2:29" x14ac:dyDescent="0.25">
      <c r="B69" s="233"/>
      <c r="C69" s="267" t="str">
        <f>B39</f>
        <v>VIST-US</v>
      </c>
      <c r="D69" s="269">
        <f t="shared" ref="D69:J69" si="31">K39</f>
        <v>652.18700000000001</v>
      </c>
      <c r="E69" s="269">
        <f t="shared" si="31"/>
        <v>1187.6600000000001</v>
      </c>
      <c r="F69" s="269">
        <f t="shared" si="31"/>
        <v>1168.7739999999999</v>
      </c>
      <c r="G69" s="269">
        <f t="shared" si="31"/>
        <v>739.97500000000002</v>
      </c>
      <c r="H69" s="269">
        <f t="shared" si="31"/>
        <v>729.45100000000002</v>
      </c>
      <c r="I69" s="269">
        <f t="shared" si="31"/>
        <v>269.53500000000003</v>
      </c>
      <c r="J69" s="269">
        <f t="shared" si="31"/>
        <v>396.95499999999998</v>
      </c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</row>
    <row r="70" spans="2:29" x14ac:dyDescent="0.25">
      <c r="B70" s="233"/>
      <c r="C70" s="267" t="str">
        <f>B43</f>
        <v>PRIO3-BR</v>
      </c>
      <c r="D70" s="269">
        <f>K43</f>
        <v>814.65092076502697</v>
      </c>
      <c r="E70" s="269">
        <f t="shared" ref="E70:J70" si="32">L43</f>
        <v>1232.1533740300699</v>
      </c>
      <c r="F70" s="269">
        <f t="shared" si="32"/>
        <v>2383.4487126280401</v>
      </c>
      <c r="G70" s="269">
        <f t="shared" si="32"/>
        <v>912.86126999999999</v>
      </c>
      <c r="H70" s="269">
        <f t="shared" si="32"/>
        <v>1825.7264399999999</v>
      </c>
      <c r="I70" s="269">
        <f t="shared" si="32"/>
        <v>663.58056373977695</v>
      </c>
      <c r="J70" s="269">
        <f t="shared" si="32"/>
        <v>1037.0428714849099</v>
      </c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 spans="2:29" x14ac:dyDescent="0.25">
      <c r="B71" s="233"/>
      <c r="C71" s="267" t="str">
        <f t="shared" ref="C71:C76" si="33">B44</f>
        <v>RECV3-BR</v>
      </c>
      <c r="D71" s="269">
        <f t="shared" ref="D71:D76" si="34">K44</f>
        <v>192.84086174458301</v>
      </c>
      <c r="E71" s="269">
        <f t="shared" ref="E71:E76" si="35">L44</f>
        <v>576.22812688942201</v>
      </c>
      <c r="F71" s="269">
        <f t="shared" ref="F71:F76" si="36">M44</f>
        <v>563.44913909331001</v>
      </c>
      <c r="G71" s="269">
        <f t="shared" ref="G71:G76" si="37">N44</f>
        <v>312.06394</v>
      </c>
      <c r="H71" s="269">
        <f t="shared" ref="H71:H76" si="38">O44</f>
        <v>256.65519999999998</v>
      </c>
      <c r="I71" s="269">
        <f t="shared" ref="I71:I76" si="39">P44</f>
        <v>223.32995921661001</v>
      </c>
      <c r="J71" s="269">
        <f t="shared" ref="J71:J76" si="40">Q44</f>
        <v>141.93293105274401</v>
      </c>
      <c r="R71" s="228"/>
      <c r="S71" s="228"/>
      <c r="T71" s="228"/>
      <c r="U71" s="228"/>
      <c r="V71" s="228"/>
      <c r="W71" s="228"/>
      <c r="X71" s="228"/>
      <c r="Y71" s="228"/>
      <c r="Z71" s="268"/>
      <c r="AA71" s="228"/>
      <c r="AB71" s="228"/>
      <c r="AC71" s="228"/>
    </row>
    <row r="72" spans="2:29" x14ac:dyDescent="0.25">
      <c r="B72" s="233"/>
      <c r="C72" s="267" t="str">
        <f t="shared" si="33"/>
        <v>GPRK-US</v>
      </c>
      <c r="D72" s="269">
        <f t="shared" si="34"/>
        <v>688.54300000000001</v>
      </c>
      <c r="E72" s="269">
        <f t="shared" si="35"/>
        <v>1049.579</v>
      </c>
      <c r="F72" s="269">
        <f t="shared" si="36"/>
        <v>756.625</v>
      </c>
      <c r="G72" s="269">
        <f t="shared" si="37"/>
        <v>621.25199999999995</v>
      </c>
      <c r="H72" s="269">
        <f t="shared" si="38"/>
        <v>456.05500000000001</v>
      </c>
      <c r="I72" s="269">
        <f t="shared" si="39"/>
        <v>224.435</v>
      </c>
      <c r="J72" s="269">
        <f t="shared" si="40"/>
        <v>111.068</v>
      </c>
      <c r="R72" s="228"/>
      <c r="S72" s="228"/>
      <c r="T72" s="228"/>
      <c r="U72" s="228"/>
      <c r="V72" s="228"/>
      <c r="W72" s="228"/>
      <c r="X72" s="228"/>
      <c r="Y72" s="228"/>
      <c r="Z72" s="228"/>
      <c r="AA72" s="228"/>
      <c r="AB72" s="228"/>
      <c r="AC72" s="228"/>
    </row>
    <row r="73" spans="2:29" x14ac:dyDescent="0.25">
      <c r="B73" s="233"/>
      <c r="C73" s="267" t="str">
        <f t="shared" si="33"/>
        <v>YPFD-AR</v>
      </c>
      <c r="D73" s="269">
        <f t="shared" si="34"/>
        <v>13055.691797180099</v>
      </c>
      <c r="E73" s="269">
        <f t="shared" si="35"/>
        <v>18997.671391504799</v>
      </c>
      <c r="F73" s="269">
        <f t="shared" si="36"/>
        <v>18296.0199164962</v>
      </c>
      <c r="G73" s="269">
        <f t="shared" si="37"/>
        <v>5709.0801099999999</v>
      </c>
      <c r="H73" s="269">
        <f t="shared" si="38"/>
        <v>6947.74226</v>
      </c>
      <c r="I73" s="269">
        <f t="shared" si="39"/>
        <v>2210.524749876</v>
      </c>
      <c r="J73" s="269">
        <f t="shared" si="40"/>
        <v>-5302.5214448678298</v>
      </c>
      <c r="R73" s="228"/>
    </row>
    <row r="74" spans="2:29" x14ac:dyDescent="0.25">
      <c r="B74" s="233"/>
      <c r="C74" s="267" t="str">
        <f t="shared" si="33"/>
        <v>PETR4-BR</v>
      </c>
      <c r="D74" s="269">
        <f t="shared" si="34"/>
        <v>83886.749622523799</v>
      </c>
      <c r="E74" s="269">
        <f t="shared" si="35"/>
        <v>124165.765406013</v>
      </c>
      <c r="F74" s="269">
        <f t="shared" si="36"/>
        <v>102503.757876456</v>
      </c>
      <c r="G74" s="269">
        <f t="shared" si="37"/>
        <v>65612.739589999997</v>
      </c>
      <c r="H74" s="269">
        <f t="shared" si="38"/>
        <v>52730.793250000002</v>
      </c>
      <c r="I74" s="269">
        <f t="shared" si="39"/>
        <v>36465.764479994803</v>
      </c>
      <c r="J74" s="269">
        <f t="shared" si="40"/>
        <v>24946.7440125346</v>
      </c>
      <c r="R74" s="228"/>
    </row>
    <row r="75" spans="2:29" x14ac:dyDescent="0.25">
      <c r="B75" s="233"/>
      <c r="C75" s="267" t="str">
        <f t="shared" si="33"/>
        <v>ECOPETROL-CO</v>
      </c>
      <c r="D75" s="269">
        <f t="shared" si="34"/>
        <v>21579.941137658101</v>
      </c>
      <c r="E75" s="269">
        <f t="shared" si="35"/>
        <v>29260.5018042626</v>
      </c>
      <c r="F75" s="269">
        <f t="shared" si="36"/>
        <v>28466.475600396599</v>
      </c>
      <c r="G75" s="269">
        <f t="shared" si="37"/>
        <v>8832.8347900000008</v>
      </c>
      <c r="H75" s="269">
        <f t="shared" si="38"/>
        <v>8611.6396700000005</v>
      </c>
      <c r="I75" s="269">
        <f t="shared" si="39"/>
        <v>7841.4218506379502</v>
      </c>
      <c r="J75" s="269">
        <f t="shared" si="40"/>
        <v>4407.2178460088298</v>
      </c>
      <c r="R75" s="228"/>
    </row>
    <row r="76" spans="2:29" x14ac:dyDescent="0.25">
      <c r="B76" s="233"/>
      <c r="C76" s="267" t="str">
        <f t="shared" si="33"/>
        <v>PAMP-AR</v>
      </c>
      <c r="D76" s="269">
        <f t="shared" si="34"/>
        <v>1519.1315035391599</v>
      </c>
      <c r="E76" s="269">
        <f t="shared" si="35"/>
        <v>1852.0544562991699</v>
      </c>
      <c r="F76" s="269">
        <f t="shared" si="36"/>
        <v>1744.8237075996601</v>
      </c>
      <c r="G76" s="269">
        <f t="shared" si="37"/>
        <v>766.44962999999996</v>
      </c>
      <c r="H76" s="269">
        <f t="shared" si="38"/>
        <v>1041.3710000000001</v>
      </c>
      <c r="I76" s="269">
        <f t="shared" si="39"/>
        <v>496.00052845012402</v>
      </c>
      <c r="J76" s="269">
        <f t="shared" si="40"/>
        <v>117.135132137686</v>
      </c>
      <c r="R76" s="228"/>
      <c r="S76" s="228"/>
      <c r="T76" s="228"/>
      <c r="U76" s="228"/>
      <c r="V76" s="228"/>
      <c r="W76" s="228"/>
      <c r="X76" s="228"/>
      <c r="Y76" s="228"/>
      <c r="Z76" s="228"/>
      <c r="AA76" s="228"/>
      <c r="AB76" s="228"/>
      <c r="AC76" s="228"/>
    </row>
    <row r="77" spans="2:29" x14ac:dyDescent="0.25">
      <c r="B77" s="233"/>
      <c r="C77" s="267"/>
      <c r="D77" s="269"/>
      <c r="E77" s="269"/>
      <c r="F77" s="269"/>
      <c r="G77" s="269"/>
      <c r="H77" s="269"/>
      <c r="I77" s="269"/>
      <c r="J77" s="269"/>
      <c r="R77" s="228"/>
      <c r="S77" s="228"/>
      <c r="T77" s="228"/>
      <c r="U77" s="228"/>
      <c r="V77" s="228"/>
      <c r="W77" s="228"/>
      <c r="X77" s="228"/>
      <c r="Y77" s="228"/>
      <c r="Z77" s="228"/>
      <c r="AA77" s="228"/>
      <c r="AB77" s="228"/>
      <c r="AC77" s="228"/>
    </row>
    <row r="78" spans="2:29" x14ac:dyDescent="0.25">
      <c r="B78" s="233"/>
      <c r="C78" s="267"/>
      <c r="D78" s="236"/>
      <c r="E78" s="236"/>
      <c r="F78" s="236"/>
      <c r="G78" s="236"/>
      <c r="H78" s="236"/>
      <c r="I78" s="236"/>
      <c r="J78" s="236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  <c r="AC78" s="228"/>
    </row>
    <row r="79" spans="2:29" x14ac:dyDescent="0.25">
      <c r="B79" s="233"/>
      <c r="C79" s="270" t="s">
        <v>134</v>
      </c>
      <c r="D79" s="236">
        <f t="shared" ref="D79:J79" si="41">SUM(D69:D77)</f>
        <v>122389.73584341076</v>
      </c>
      <c r="E79" s="236">
        <f t="shared" si="41"/>
        <v>178321.61355899906</v>
      </c>
      <c r="F79" s="236">
        <f>SUM(F69:F77)</f>
        <v>155883.37395266982</v>
      </c>
      <c r="G79" s="236">
        <f t="shared" si="41"/>
        <v>83507.256329999989</v>
      </c>
      <c r="H79" s="236">
        <f t="shared" si="41"/>
        <v>72599.433820000006</v>
      </c>
      <c r="I79" s="236">
        <f t="shared" si="41"/>
        <v>48394.592131915262</v>
      </c>
      <c r="J79" s="236">
        <f t="shared" si="41"/>
        <v>25855.57434835094</v>
      </c>
      <c r="R79" s="228"/>
      <c r="S79" s="228"/>
      <c r="T79" s="228"/>
      <c r="U79" s="228"/>
      <c r="V79" s="228"/>
      <c r="W79" s="228"/>
      <c r="X79" s="228"/>
      <c r="Y79" s="228"/>
      <c r="Z79" s="228"/>
      <c r="AA79" s="228"/>
      <c r="AB79" s="228"/>
      <c r="AC79" s="228"/>
    </row>
    <row r="80" spans="2:29" x14ac:dyDescent="0.25">
      <c r="B80" s="233"/>
      <c r="R80" s="228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  <c r="AC80" s="228"/>
    </row>
    <row r="81" spans="2:29" x14ac:dyDescent="0.25">
      <c r="B81" s="233"/>
      <c r="C81" s="213" t="s">
        <v>315</v>
      </c>
      <c r="D81" s="271">
        <f t="shared" ref="D81:J81" si="42">D69/D79</f>
        <v>5.3287720208370117E-3</v>
      </c>
      <c r="E81" s="271">
        <f t="shared" si="42"/>
        <v>6.6602133992414428E-3</v>
      </c>
      <c r="F81" s="271">
        <f>F69/F79</f>
        <v>7.4977463623212923E-3</v>
      </c>
      <c r="G81" s="271">
        <f t="shared" si="42"/>
        <v>8.861205990001661E-3</v>
      </c>
      <c r="H81" s="271">
        <f t="shared" si="42"/>
        <v>1.0047612792801804E-2</v>
      </c>
      <c r="I81" s="271">
        <f t="shared" si="42"/>
        <v>5.5695272576178423E-3</v>
      </c>
      <c r="J81" s="271">
        <f t="shared" si="42"/>
        <v>1.5352782137106835E-2</v>
      </c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</row>
    <row r="82" spans="2:29" x14ac:dyDescent="0.25">
      <c r="B82" s="233"/>
      <c r="C82" s="213"/>
      <c r="D82" s="254" t="s">
        <v>238</v>
      </c>
      <c r="E82" s="271">
        <f>E81-D81</f>
        <v>1.3314413784044311E-3</v>
      </c>
      <c r="F82" s="271">
        <f>F81-E81</f>
        <v>8.3753296307984958E-4</v>
      </c>
      <c r="H82" s="272"/>
      <c r="I82" s="272"/>
      <c r="J82" s="272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  <c r="AC82" s="228"/>
    </row>
    <row r="83" spans="2:29" x14ac:dyDescent="0.25">
      <c r="B83" s="233"/>
      <c r="E83" s="273"/>
      <c r="F83" s="273"/>
      <c r="G83" s="273"/>
      <c r="H83" s="273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  <c r="AC83" s="228"/>
    </row>
    <row r="84" spans="2:29" x14ac:dyDescent="0.25">
      <c r="B84" s="233"/>
      <c r="E84" s="273"/>
      <c r="F84" s="273"/>
      <c r="G84" s="273"/>
      <c r="H84" s="273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</row>
    <row r="85" spans="2:29" ht="15.75" customHeight="1" x14ac:dyDescent="0.25">
      <c r="B85" s="233"/>
      <c r="E85" s="273"/>
      <c r="F85" s="273"/>
      <c r="G85" s="273"/>
      <c r="H85" s="273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  <c r="AC85" s="228"/>
    </row>
    <row r="86" spans="2:29" ht="15.75" customHeight="1" x14ac:dyDescent="0.25">
      <c r="B86" s="233"/>
      <c r="E86" s="273"/>
      <c r="F86" s="273"/>
      <c r="G86" s="273"/>
      <c r="H86" s="273"/>
      <c r="R86" s="239"/>
      <c r="S86" s="239"/>
      <c r="T86" s="239"/>
      <c r="U86" s="239"/>
      <c r="V86" s="239"/>
      <c r="W86" s="239"/>
      <c r="X86" s="238"/>
      <c r="Y86" s="238"/>
      <c r="Z86" s="238"/>
      <c r="AA86" s="238"/>
      <c r="AB86" s="238"/>
      <c r="AC86" s="238"/>
    </row>
    <row r="87" spans="2:29" x14ac:dyDescent="0.25">
      <c r="E87" s="273"/>
      <c r="F87" s="273"/>
      <c r="G87" s="273"/>
      <c r="H87" s="273"/>
    </row>
    <row r="88" spans="2:29" x14ac:dyDescent="0.25">
      <c r="E88" s="273"/>
      <c r="F88" s="273"/>
      <c r="G88" s="273"/>
      <c r="H88" s="273"/>
    </row>
    <row r="89" spans="2:29" x14ac:dyDescent="0.25">
      <c r="E89" s="273"/>
      <c r="F89" s="273"/>
      <c r="G89" s="273"/>
      <c r="H89" s="273"/>
    </row>
    <row r="90" spans="2:29" x14ac:dyDescent="0.25">
      <c r="E90" s="273"/>
      <c r="F90" s="273"/>
      <c r="G90" s="273"/>
      <c r="H90" s="273"/>
    </row>
    <row r="95" spans="2:29" x14ac:dyDescent="0.25">
      <c r="I95" s="273"/>
      <c r="J95" s="273"/>
      <c r="K95" s="273"/>
    </row>
    <row r="96" spans="2:29" x14ac:dyDescent="0.25">
      <c r="I96" s="273"/>
      <c r="J96" s="273"/>
      <c r="K96" s="273"/>
    </row>
    <row r="97" spans="4:42" x14ac:dyDescent="0.25">
      <c r="I97" s="273"/>
      <c r="J97" s="273"/>
      <c r="K97" s="273"/>
      <c r="L97" s="273"/>
      <c r="M97" s="274"/>
    </row>
    <row r="98" spans="4:42" x14ac:dyDescent="0.25">
      <c r="I98" s="273"/>
      <c r="J98" s="273"/>
      <c r="K98" s="273"/>
      <c r="L98" s="273"/>
      <c r="M98" s="274"/>
    </row>
    <row r="99" spans="4:42" x14ac:dyDescent="0.25">
      <c r="I99" s="273"/>
      <c r="J99" s="273"/>
      <c r="K99" s="273"/>
      <c r="L99" s="273"/>
      <c r="M99" s="274"/>
    </row>
    <row r="100" spans="4:42" x14ac:dyDescent="0.25">
      <c r="I100" s="273"/>
      <c r="J100" s="273"/>
      <c r="K100" s="273"/>
      <c r="L100" s="273"/>
      <c r="M100" s="274"/>
    </row>
    <row r="101" spans="4:42" x14ac:dyDescent="0.25">
      <c r="I101" s="273"/>
      <c r="J101" s="273"/>
      <c r="K101" s="273"/>
      <c r="L101" s="273"/>
      <c r="M101" s="274"/>
    </row>
    <row r="102" spans="4:42" x14ac:dyDescent="0.25">
      <c r="I102" s="273"/>
      <c r="J102" s="273"/>
      <c r="K102" s="273"/>
      <c r="L102" s="273"/>
      <c r="M102" s="274"/>
    </row>
    <row r="103" spans="4:42" x14ac:dyDescent="0.25">
      <c r="I103" s="273"/>
      <c r="J103" s="273"/>
      <c r="K103" s="273"/>
      <c r="L103" s="273"/>
      <c r="M103" s="274"/>
    </row>
    <row r="104" spans="4:42" x14ac:dyDescent="0.25">
      <c r="L104" s="273"/>
    </row>
    <row r="105" spans="4:42" x14ac:dyDescent="0.25">
      <c r="L105" s="273"/>
    </row>
    <row r="107" spans="4:42" x14ac:dyDescent="0.25">
      <c r="AP107" s="216" t="s">
        <v>365</v>
      </c>
    </row>
    <row r="109" spans="4:42" x14ac:dyDescent="0.25">
      <c r="D109" s="274"/>
    </row>
    <row r="110" spans="4:42" ht="15.75" customHeight="1" x14ac:dyDescent="0.25">
      <c r="D110" s="274"/>
    </row>
    <row r="111" spans="4:42" x14ac:dyDescent="0.25">
      <c r="D111" s="274"/>
    </row>
    <row r="112" spans="4:42" ht="15.75" customHeight="1" x14ac:dyDescent="0.25">
      <c r="D112" s="274"/>
    </row>
    <row r="113" spans="4:4" x14ac:dyDescent="0.25">
      <c r="D113" s="274"/>
    </row>
    <row r="114" spans="4:4" ht="18.75" customHeight="1" x14ac:dyDescent="0.25">
      <c r="D114" s="274"/>
    </row>
  </sheetData>
  <conditionalFormatting sqref="I23:P23 P13:P18 P20:P2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:P21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0:P66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7:P68 I66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0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1:Q6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7:Q68 J66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R2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R2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V21 U11:V22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V2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R41 R43:R4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9:R46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7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8:R57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8:R68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9:R70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1:R72 R76:R80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1:R8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:V4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9:S46"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48:S57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:S59 S61:S7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8:S70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1:S72 S76:S80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1:S8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1:T21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T2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9:T4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9:T46">
    <cfRule type="colorScale" priority="2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8:T57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T59 T61:T70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8:T70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1:T72 T76:T80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81:T8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9:U41 U43:U4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9:U46"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7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48:U57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8:U7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71:U72 U76:U80"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1:U8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9:V41 V44:V4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4:V46 V39:V4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8:V57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:V7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1:V72 V76:V80"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1:V8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2:X22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9:X46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8:X68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9:X70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1:X72 X76:X80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1:X85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2:AC18 Y11:AC11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AC1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0:AC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1:AC2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2:AC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Y22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2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9:Y46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7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8:Y70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1:Y72 Y76:Y80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1:Y85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1:Z12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3:Z22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9:Z46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7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8:Z70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6:Z80 Z72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1:Z85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A2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9:AA4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7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8:AA70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1:AA72 AA76:AA80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1:AA85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B12 AC1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B2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46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7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8:AB68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9:AB70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1:AB72 AB76:AB80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1:AB85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3:AC18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C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0:AC2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1:AC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2:AC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1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3:AC2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9:AC46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7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8:AC68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9:AC70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1:AC72 AC76:AC80 R73:R75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1:AC85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:V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V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AC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AC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AC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75"/>
  <sheetViews>
    <sheetView topLeftCell="J1" zoomScale="85" zoomScaleNormal="85" workbookViewId="0">
      <selection activeCell="Q19" sqref="Q19"/>
    </sheetView>
  </sheetViews>
  <sheetFormatPr defaultRowHeight="15" x14ac:dyDescent="0.25"/>
  <cols>
    <col min="1" max="12" width="30" customWidth="1"/>
    <col min="13" max="13" width="25.5703125" bestFit="1" customWidth="1"/>
    <col min="14" max="14" width="25.85546875" bestFit="1" customWidth="1"/>
    <col min="15" max="15" width="34.7109375" bestFit="1" customWidth="1"/>
    <col min="17" max="17" width="9.5703125" bestFit="1" customWidth="1"/>
    <col min="18" max="18" width="11.42578125" bestFit="1" customWidth="1"/>
    <col min="19" max="20" width="9.5703125" bestFit="1" customWidth="1"/>
    <col min="21" max="21" width="11" bestFit="1" customWidth="1"/>
    <col min="22" max="22" width="9.5703125" bestFit="1" customWidth="1"/>
  </cols>
  <sheetData>
    <row r="2" spans="1:27" x14ac:dyDescent="0.25">
      <c r="G2" s="389"/>
      <c r="H2" s="390" t="s">
        <v>0</v>
      </c>
      <c r="I2" s="389"/>
      <c r="J2" s="390" t="s">
        <v>0</v>
      </c>
      <c r="K2" s="389"/>
      <c r="L2" s="390" t="s">
        <v>0</v>
      </c>
    </row>
    <row r="3" spans="1:27" x14ac:dyDescent="0.25"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P3" t="s">
        <v>56</v>
      </c>
      <c r="Q3" t="s">
        <v>55</v>
      </c>
      <c r="R3" t="s">
        <v>43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</row>
    <row r="4" spans="1:27" x14ac:dyDescent="0.25">
      <c r="G4" s="1">
        <v>2023</v>
      </c>
      <c r="H4" s="1">
        <v>2022</v>
      </c>
      <c r="I4" s="1">
        <v>2021</v>
      </c>
      <c r="J4" s="1">
        <v>2020</v>
      </c>
      <c r="K4" s="1">
        <v>2019</v>
      </c>
      <c r="O4" s="1" t="s">
        <v>9</v>
      </c>
      <c r="P4" s="319">
        <v>75000</v>
      </c>
      <c r="Q4" s="319">
        <v>70000</v>
      </c>
      <c r="R4">
        <v>65288</v>
      </c>
      <c r="S4">
        <v>55046</v>
      </c>
      <c r="T4">
        <v>56353</v>
      </c>
      <c r="U4">
        <v>49450</v>
      </c>
      <c r="V4">
        <v>46557</v>
      </c>
      <c r="W4">
        <v>52207</v>
      </c>
      <c r="X4">
        <v>48709</v>
      </c>
      <c r="Y4">
        <v>50669</v>
      </c>
      <c r="Z4">
        <v>44825</v>
      </c>
      <c r="AA4">
        <v>43900</v>
      </c>
    </row>
    <row r="5" spans="1:27" x14ac:dyDescent="0.25">
      <c r="A5" s="389" t="s">
        <v>2</v>
      </c>
      <c r="B5" s="389"/>
      <c r="C5" s="389"/>
      <c r="D5" s="389"/>
      <c r="E5" s="389"/>
      <c r="F5" s="389"/>
      <c r="G5" s="389"/>
      <c r="H5" s="389"/>
      <c r="I5" s="389"/>
      <c r="J5" s="389"/>
      <c r="K5" s="1"/>
      <c r="L5" s="1"/>
      <c r="O5" t="s">
        <v>52</v>
      </c>
      <c r="P5" s="11">
        <f>P4/Q4-1</f>
        <v>7.1428571428571397E-2</v>
      </c>
      <c r="Q5" s="11">
        <f>Q4/R4-1</f>
        <v>7.2172527876485759E-2</v>
      </c>
      <c r="R5" s="11">
        <f>R4/S4-1</f>
        <v>0.18606256585401293</v>
      </c>
      <c r="S5" s="11">
        <f t="shared" ref="S5:Z5" si="0">S4/T4-1</f>
        <v>-2.3193086437279242E-2</v>
      </c>
      <c r="T5" s="11">
        <f t="shared" si="0"/>
        <v>0.13959555106167842</v>
      </c>
      <c r="U5" s="11">
        <f t="shared" si="0"/>
        <v>6.2138883519126997E-2</v>
      </c>
      <c r="V5" s="11">
        <f t="shared" si="0"/>
        <v>-0.10822303522516141</v>
      </c>
      <c r="W5" s="11">
        <f t="shared" si="0"/>
        <v>7.1814243774251274E-2</v>
      </c>
      <c r="X5" s="11">
        <f t="shared" si="0"/>
        <v>-3.8682429098659932E-2</v>
      </c>
      <c r="Y5" s="11">
        <f t="shared" si="0"/>
        <v>0.1303736754043503</v>
      </c>
      <c r="Z5" s="11">
        <f t="shared" si="0"/>
        <v>2.1070615034168627E-2</v>
      </c>
    </row>
    <row r="6" spans="1:27" x14ac:dyDescent="0.25">
      <c r="A6" s="5" t="s">
        <v>3</v>
      </c>
      <c r="B6" s="5"/>
      <c r="C6" s="5"/>
      <c r="D6" s="5"/>
      <c r="E6" s="5"/>
      <c r="F6" s="5"/>
      <c r="G6" s="1">
        <v>15.8</v>
      </c>
      <c r="H6" s="1">
        <v>14.6</v>
      </c>
      <c r="I6" s="1">
        <v>11.1</v>
      </c>
      <c r="J6" s="1">
        <v>6.7</v>
      </c>
      <c r="O6" t="s">
        <v>53</v>
      </c>
      <c r="P6" s="11">
        <f t="shared" ref="P6:W6" si="1">P4/T4-1</f>
        <v>0.33089631430447364</v>
      </c>
      <c r="Q6" s="11">
        <f t="shared" si="1"/>
        <v>0.41557128412537914</v>
      </c>
      <c r="R6" s="11">
        <f t="shared" si="1"/>
        <v>0.40232403290590035</v>
      </c>
      <c r="S6" s="11">
        <f t="shared" si="1"/>
        <v>5.4379680885704884E-2</v>
      </c>
      <c r="T6" s="11">
        <f t="shared" si="1"/>
        <v>0.15693198382229157</v>
      </c>
      <c r="U6" s="11">
        <f t="shared" si="1"/>
        <v>-2.4058102587380836E-2</v>
      </c>
      <c r="V6" s="11">
        <f t="shared" si="1"/>
        <v>3.8639152258784115E-2</v>
      </c>
      <c r="W6" s="11">
        <f t="shared" si="1"/>
        <v>0.18922551252847386</v>
      </c>
      <c r="X6" s="11"/>
    </row>
    <row r="7" spans="1:27" x14ac:dyDescent="0.25">
      <c r="A7" s="1" t="s">
        <v>4</v>
      </c>
      <c r="B7" s="1"/>
      <c r="C7" s="1"/>
      <c r="D7" s="1"/>
      <c r="E7" s="1"/>
      <c r="F7" s="1"/>
      <c r="G7" s="1">
        <v>15.6</v>
      </c>
      <c r="H7" s="1">
        <v>14.4</v>
      </c>
      <c r="I7" s="1">
        <v>11</v>
      </c>
      <c r="P7" s="1">
        <f>P4*92*D33/1000</f>
        <v>418529.16</v>
      </c>
      <c r="Q7" s="1">
        <f>Q4*92*D33/1000</f>
        <v>390627.21600000001</v>
      </c>
      <c r="R7" s="1">
        <f>65288*91*E33/1000</f>
        <v>379412.79115376004</v>
      </c>
      <c r="S7" s="1">
        <f>S4*90*F33/1000</f>
        <v>304289.22376800003</v>
      </c>
    </row>
    <row r="8" spans="1:27" x14ac:dyDescent="0.25">
      <c r="A8" s="1" t="s">
        <v>5</v>
      </c>
      <c r="B8" s="1"/>
      <c r="C8" s="1"/>
      <c r="D8" s="1"/>
      <c r="E8" s="1"/>
      <c r="F8" s="1"/>
      <c r="G8" s="1">
        <v>0.2</v>
      </c>
      <c r="H8" s="1">
        <v>0.2</v>
      </c>
      <c r="I8" s="1">
        <v>0.1</v>
      </c>
      <c r="O8" t="s">
        <v>62</v>
      </c>
    </row>
    <row r="9" spans="1:27" x14ac:dyDescent="0.25">
      <c r="A9" s="5" t="s">
        <v>6</v>
      </c>
      <c r="B9" s="5"/>
      <c r="C9" s="5"/>
      <c r="D9" s="5"/>
      <c r="E9" s="5"/>
      <c r="F9" s="5"/>
      <c r="G9" s="1">
        <v>15.2</v>
      </c>
      <c r="H9" s="1">
        <v>16.5</v>
      </c>
      <c r="I9" s="1">
        <v>16.399999999999999</v>
      </c>
      <c r="J9" s="1">
        <v>15.8</v>
      </c>
      <c r="K9" s="8"/>
      <c r="L9" s="9"/>
      <c r="M9" s="9"/>
    </row>
    <row r="10" spans="1:27" x14ac:dyDescent="0.25">
      <c r="A10" s="1" t="s">
        <v>4</v>
      </c>
      <c r="B10" s="1"/>
      <c r="C10" s="1"/>
      <c r="D10" s="1"/>
      <c r="E10" s="1"/>
      <c r="F10" s="1"/>
      <c r="G10" s="1">
        <v>15.1</v>
      </c>
      <c r="H10" s="1">
        <v>16.5</v>
      </c>
      <c r="I10" s="1">
        <v>16.2</v>
      </c>
      <c r="K10" s="8"/>
      <c r="L10" s="9"/>
      <c r="M10" s="9"/>
    </row>
    <row r="11" spans="1:27" x14ac:dyDescent="0.25">
      <c r="A11" s="1" t="s">
        <v>5</v>
      </c>
      <c r="B11" s="1"/>
      <c r="C11" s="1"/>
      <c r="D11" s="1"/>
      <c r="E11" s="1"/>
      <c r="F11" s="1"/>
      <c r="G11" s="1">
        <v>0.1</v>
      </c>
      <c r="H11" s="1">
        <v>0</v>
      </c>
      <c r="I11" s="1">
        <v>0.2</v>
      </c>
      <c r="K11" s="9"/>
      <c r="L11" s="9"/>
      <c r="M11" s="9"/>
      <c r="P11" t="s">
        <v>209</v>
      </c>
      <c r="Q11" t="s">
        <v>54</v>
      </c>
      <c r="R11">
        <v>2023</v>
      </c>
      <c r="S11">
        <v>2022</v>
      </c>
      <c r="T11">
        <v>2021</v>
      </c>
      <c r="U11">
        <v>20220</v>
      </c>
      <c r="V11">
        <v>2019</v>
      </c>
    </row>
    <row r="12" spans="1:27" x14ac:dyDescent="0.25">
      <c r="A12" s="5" t="s">
        <v>7</v>
      </c>
      <c r="B12" s="5"/>
      <c r="C12" s="5"/>
      <c r="D12" s="5"/>
      <c r="E12" s="5"/>
      <c r="F12" s="5"/>
      <c r="G12" s="1">
        <v>0.2</v>
      </c>
      <c r="H12" s="1">
        <v>0.2</v>
      </c>
      <c r="I12" s="1">
        <v>0.2</v>
      </c>
      <c r="J12" s="1">
        <v>0.2</v>
      </c>
      <c r="K12" s="9"/>
      <c r="L12" s="9"/>
      <c r="M12" s="9"/>
      <c r="P12">
        <f>Q12*(1+P13)</f>
        <v>79606.391070859332</v>
      </c>
      <c r="Q12">
        <f>Q14</f>
        <v>66333.5</v>
      </c>
      <c r="R12" s="16">
        <f>G18</f>
        <v>51149</v>
      </c>
      <c r="S12" s="16">
        <f>H18</f>
        <v>48560</v>
      </c>
      <c r="T12" s="16">
        <f>I18</f>
        <v>38845</v>
      </c>
      <c r="U12" s="16">
        <f>J18</f>
        <v>26594</v>
      </c>
      <c r="V12" s="16">
        <f>K18</f>
        <v>29112</v>
      </c>
    </row>
    <row r="13" spans="1:27" x14ac:dyDescent="0.25">
      <c r="A13" s="1" t="s">
        <v>4</v>
      </c>
      <c r="B13" s="1"/>
      <c r="C13" s="1"/>
      <c r="D13" s="1"/>
      <c r="E13" s="1"/>
      <c r="F13" s="1"/>
      <c r="G13" s="1">
        <v>0.2</v>
      </c>
      <c r="H13" s="1">
        <v>0.2</v>
      </c>
      <c r="I13" s="1">
        <v>0.2</v>
      </c>
      <c r="K13" s="9"/>
      <c r="L13" s="9"/>
      <c r="M13" s="9"/>
      <c r="P13" s="330">
        <f>AVERAGE(Q13:S13)</f>
        <v>0.20009333249201897</v>
      </c>
      <c r="Q13" s="12">
        <f>Q12/R12-1</f>
        <v>0.29686797395843523</v>
      </c>
      <c r="R13" s="12">
        <f t="shared" ref="R13:T13" si="2">R12/S12-1</f>
        <v>5.3315485996705103E-2</v>
      </c>
      <c r="S13" s="12">
        <f t="shared" si="2"/>
        <v>0.25009653752091654</v>
      </c>
      <c r="T13" s="12">
        <f t="shared" si="2"/>
        <v>0.46066781980897953</v>
      </c>
      <c r="U13" s="12">
        <f>U12/V12-1</f>
        <v>-8.6493542181918071E-2</v>
      </c>
    </row>
    <row r="14" spans="1:27" x14ac:dyDescent="0.25">
      <c r="A14" s="1" t="s">
        <v>5</v>
      </c>
      <c r="B14" s="1"/>
      <c r="C14" s="1"/>
      <c r="G14" s="1">
        <v>0</v>
      </c>
      <c r="H14" s="1">
        <v>0</v>
      </c>
      <c r="I14" s="1">
        <v>0</v>
      </c>
      <c r="K14" s="9"/>
      <c r="L14" s="9"/>
      <c r="M14" s="9"/>
      <c r="Q14">
        <f>AVERAGE(P4:S4)</f>
        <v>66333.5</v>
      </c>
      <c r="R14">
        <f>AVERAGE(T4:W4)</f>
        <v>51141.75</v>
      </c>
      <c r="S14">
        <f>AVERAGE(X4:AA4)</f>
        <v>47025.75</v>
      </c>
    </row>
    <row r="15" spans="1:27" x14ac:dyDescent="0.25">
      <c r="A15" s="5" t="s">
        <v>8</v>
      </c>
      <c r="B15" s="5"/>
      <c r="C15" s="5"/>
      <c r="D15" s="5"/>
      <c r="E15" s="5"/>
      <c r="F15" s="5"/>
      <c r="G15" s="1">
        <v>18.7</v>
      </c>
      <c r="H15" s="1">
        <v>17.7</v>
      </c>
      <c r="I15" s="1">
        <v>14.2</v>
      </c>
      <c r="J15" s="1">
        <v>9.6999999999999993</v>
      </c>
      <c r="K15" s="9"/>
      <c r="L15" s="9"/>
      <c r="M15" s="9"/>
    </row>
    <row r="16" spans="1:27" x14ac:dyDescent="0.25">
      <c r="A16" s="1" t="s">
        <v>4</v>
      </c>
      <c r="B16" s="1"/>
      <c r="C16" s="1"/>
      <c r="D16" s="1"/>
      <c r="E16" s="1"/>
      <c r="F16" s="1"/>
      <c r="G16" s="1">
        <v>18.399999999999999</v>
      </c>
      <c r="H16" s="1">
        <v>17.5</v>
      </c>
      <c r="I16" s="1">
        <v>14.1</v>
      </c>
      <c r="O16" s="310"/>
      <c r="P16" s="311" t="s">
        <v>28</v>
      </c>
      <c r="Q16" s="311" t="s">
        <v>29</v>
      </c>
      <c r="R16" s="312"/>
    </row>
    <row r="17" spans="1:21" x14ac:dyDescent="0.25">
      <c r="A17" s="1" t="s">
        <v>5</v>
      </c>
      <c r="B17" s="1"/>
      <c r="C17" s="1"/>
      <c r="D17" s="1"/>
      <c r="E17" s="1"/>
      <c r="F17" s="1"/>
      <c r="G17" s="1">
        <v>0.2</v>
      </c>
      <c r="H17" s="1">
        <v>0.2</v>
      </c>
      <c r="I17" s="1">
        <v>0.1</v>
      </c>
      <c r="O17" s="313" t="s">
        <v>27</v>
      </c>
      <c r="P17">
        <v>70083.5</v>
      </c>
      <c r="Q17" s="9">
        <v>60.4</v>
      </c>
      <c r="R17" s="314" t="s">
        <v>104</v>
      </c>
      <c r="U17">
        <f>P17*Q17*365</f>
        <v>1545060840.9999998</v>
      </c>
    </row>
    <row r="18" spans="1:21" s="6" customFormat="1" ht="30" x14ac:dyDescent="0.25">
      <c r="A18" s="10" t="s">
        <v>9</v>
      </c>
      <c r="B18" s="10"/>
      <c r="C18" s="10"/>
      <c r="D18" s="10"/>
      <c r="E18" s="10"/>
      <c r="F18" s="10"/>
      <c r="G18" s="13">
        <v>51149</v>
      </c>
      <c r="H18" s="13">
        <v>48560</v>
      </c>
      <c r="I18" s="13">
        <v>38845</v>
      </c>
      <c r="J18" s="13">
        <v>26594</v>
      </c>
      <c r="K18" s="6">
        <v>29112</v>
      </c>
      <c r="O18" s="313" t="s">
        <v>26</v>
      </c>
      <c r="P18">
        <v>66333.5</v>
      </c>
      <c r="Q18" s="9">
        <v>60.1</v>
      </c>
      <c r="R18" s="314" t="s">
        <v>102</v>
      </c>
      <c r="U18">
        <f t="shared" ref="U18" si="3">P18*Q18*365</f>
        <v>1455124822.75</v>
      </c>
    </row>
    <row r="19" spans="1:21" x14ac:dyDescent="0.25">
      <c r="A19" s="1" t="s">
        <v>4</v>
      </c>
      <c r="B19" s="1"/>
      <c r="C19" s="1"/>
      <c r="D19" s="1"/>
      <c r="E19" s="1"/>
      <c r="F19" s="1"/>
      <c r="G19" s="4">
        <v>50488</v>
      </c>
      <c r="H19" s="4">
        <v>48087</v>
      </c>
      <c r="I19" s="4">
        <v>38488</v>
      </c>
      <c r="O19" s="315" t="s">
        <v>25</v>
      </c>
      <c r="P19" s="316">
        <v>64583.5</v>
      </c>
      <c r="Q19" s="317">
        <v>59.8</v>
      </c>
      <c r="R19" s="318" t="s">
        <v>103</v>
      </c>
      <c r="U19">
        <f>P19*Q19*365</f>
        <v>1409664054.5</v>
      </c>
    </row>
    <row r="20" spans="1:21" x14ac:dyDescent="0.25">
      <c r="A20" s="1" t="s">
        <v>5</v>
      </c>
      <c r="B20" s="1"/>
      <c r="C20" s="1"/>
      <c r="D20" s="1"/>
      <c r="E20" s="1"/>
      <c r="F20" s="1"/>
      <c r="G20" s="1">
        <v>661</v>
      </c>
      <c r="H20" s="1">
        <v>473</v>
      </c>
      <c r="I20" s="1">
        <v>357</v>
      </c>
    </row>
    <row r="21" spans="1:21" x14ac:dyDescent="0.25">
      <c r="A21" s="389" t="s">
        <v>10</v>
      </c>
      <c r="B21" s="389"/>
      <c r="C21" s="389"/>
      <c r="D21" s="389"/>
      <c r="E21" s="389"/>
      <c r="F21" s="389"/>
      <c r="G21" s="389"/>
      <c r="H21" s="389"/>
      <c r="I21" s="389"/>
      <c r="J21" s="389"/>
      <c r="K21" s="1"/>
      <c r="L21" s="1"/>
    </row>
    <row r="22" spans="1:21" x14ac:dyDescent="0.25">
      <c r="A22" s="2"/>
      <c r="B22" s="14" t="s">
        <v>348</v>
      </c>
      <c r="C22" s="14" t="s">
        <v>345</v>
      </c>
      <c r="D22" s="14" t="s">
        <v>109</v>
      </c>
      <c r="E22" s="15" t="s">
        <v>100</v>
      </c>
      <c r="F22" s="15" t="s">
        <v>101</v>
      </c>
      <c r="G22" s="14" t="s">
        <v>349</v>
      </c>
      <c r="H22" s="14" t="s">
        <v>350</v>
      </c>
      <c r="I22" s="14" t="s">
        <v>351</v>
      </c>
      <c r="J22" s="14" t="s">
        <v>352</v>
      </c>
      <c r="K22" s="1"/>
      <c r="L22" s="1"/>
    </row>
    <row r="23" spans="1:21" s="6" customFormat="1" x14ac:dyDescent="0.25">
      <c r="A23" s="15" t="s">
        <v>23</v>
      </c>
      <c r="B23" s="26">
        <v>75</v>
      </c>
      <c r="C23" s="26">
        <v>77.819999999999993</v>
      </c>
      <c r="D23" s="26">
        <v>82.18</v>
      </c>
      <c r="E23" s="27">
        <v>84.14</v>
      </c>
      <c r="F23" s="27">
        <v>83.16</v>
      </c>
      <c r="G23" s="26">
        <f>(82.9+85.9+77.7+82.2)/4</f>
        <v>82.174999999999997</v>
      </c>
      <c r="H23" s="28">
        <f>(88+97.7+112+97.9)/4</f>
        <v>98.9</v>
      </c>
      <c r="I23" s="26">
        <f>(79.7+73.2+69.1+61.3)/4</f>
        <v>70.825000000000003</v>
      </c>
      <c r="J23" s="5">
        <f>(45.3+43.3+33.4+50.8)/4</f>
        <v>43.2</v>
      </c>
      <c r="K23" s="5"/>
      <c r="L23" s="5"/>
      <c r="N23" s="17" t="s">
        <v>57</v>
      </c>
      <c r="P23"/>
      <c r="Q23"/>
      <c r="R23"/>
    </row>
    <row r="24" spans="1:21" s="6" customFormat="1" x14ac:dyDescent="0.25">
      <c r="A24" s="15" t="s">
        <v>59</v>
      </c>
      <c r="B24" s="27">
        <v>67</v>
      </c>
      <c r="C24" s="27">
        <v>69</v>
      </c>
      <c r="D24" s="27">
        <v>73</v>
      </c>
      <c r="E24" s="26">
        <v>76.599999999999994</v>
      </c>
      <c r="F24" s="26">
        <v>74</v>
      </c>
      <c r="G24" s="26">
        <v>72</v>
      </c>
      <c r="H24" s="28">
        <v>92.7</v>
      </c>
      <c r="I24" s="26"/>
      <c r="J24" s="5"/>
      <c r="K24" s="5"/>
      <c r="L24" s="5"/>
      <c r="N24" s="17"/>
      <c r="P24"/>
      <c r="Q24"/>
      <c r="R24"/>
    </row>
    <row r="25" spans="1:21" s="6" customFormat="1" x14ac:dyDescent="0.25">
      <c r="A25" s="15"/>
      <c r="B25" s="26"/>
      <c r="C25" s="26"/>
      <c r="D25" s="26"/>
      <c r="E25" s="26"/>
      <c r="F25" s="26"/>
      <c r="G25" s="26"/>
      <c r="H25" s="26"/>
      <c r="I25" s="26"/>
      <c r="J25" s="5"/>
      <c r="K25" s="5"/>
      <c r="L25" s="5"/>
      <c r="N25" s="17"/>
      <c r="P25"/>
      <c r="Q25"/>
      <c r="R25"/>
    </row>
    <row r="26" spans="1:21" x14ac:dyDescent="0.25">
      <c r="A26" s="2" t="s">
        <v>24</v>
      </c>
      <c r="B26" s="29">
        <v>65</v>
      </c>
      <c r="C26" s="29">
        <v>67.5</v>
      </c>
      <c r="D26" s="29">
        <v>65</v>
      </c>
      <c r="E26" s="29">
        <v>74.06</v>
      </c>
      <c r="F26" s="30">
        <v>70.723330000000004</v>
      </c>
      <c r="G26" s="29">
        <f>(62.9+63.4+63.6+65.9)/4</f>
        <v>63.95</v>
      </c>
      <c r="H26" s="30">
        <f>(68.3+69.8+68.9+61.4)/4</f>
        <v>67.099999999999994</v>
      </c>
      <c r="I26" s="29">
        <f>(56.54+53.95+52.27+49.49)/4</f>
        <v>53.062500000000007</v>
      </c>
      <c r="J26" s="1">
        <f>(40.4+41.4+30.3+48.6)/4</f>
        <v>40.174999999999997</v>
      </c>
      <c r="K26" s="1"/>
      <c r="L26" s="1"/>
      <c r="N26" s="17" t="s">
        <v>58</v>
      </c>
      <c r="P26" s="6"/>
      <c r="Q26" s="6"/>
      <c r="R26" s="6"/>
    </row>
    <row r="27" spans="1:21" x14ac:dyDescent="0.25">
      <c r="A27" s="18" t="s">
        <v>60</v>
      </c>
      <c r="B27" s="29">
        <v>64.8</v>
      </c>
      <c r="C27" s="29">
        <v>66</v>
      </c>
      <c r="D27" s="29">
        <v>64.8</v>
      </c>
      <c r="E27" s="29">
        <v>68.900000000000006</v>
      </c>
      <c r="F27" s="29">
        <v>68</v>
      </c>
      <c r="G27" s="29">
        <v>63.6</v>
      </c>
      <c r="H27" s="30">
        <v>62.9</v>
      </c>
      <c r="I27" s="29"/>
      <c r="J27" s="1"/>
      <c r="K27" s="1"/>
      <c r="L27" s="1"/>
      <c r="N27" s="17"/>
      <c r="P27" s="6"/>
      <c r="Q27" s="6"/>
      <c r="R27" s="6"/>
    </row>
    <row r="28" spans="1:21" x14ac:dyDescent="0.25">
      <c r="A28" s="18"/>
      <c r="B28" s="29"/>
      <c r="C28" s="29"/>
      <c r="D28" s="29"/>
      <c r="E28" s="1"/>
      <c r="F28" s="1"/>
      <c r="G28" s="1"/>
      <c r="H28" s="1"/>
      <c r="I28" s="1"/>
      <c r="J28" s="1"/>
      <c r="K28" s="1"/>
      <c r="L28" s="1"/>
      <c r="N28" s="17"/>
      <c r="P28" s="6"/>
      <c r="Q28" s="6"/>
      <c r="R28" s="6"/>
    </row>
    <row r="29" spans="1:21" x14ac:dyDescent="0.25">
      <c r="A29" s="18" t="s">
        <v>61</v>
      </c>
      <c r="B29" s="329">
        <v>0.7</v>
      </c>
      <c r="C29" s="329">
        <v>0.7</v>
      </c>
      <c r="D29" s="329">
        <v>0.6</v>
      </c>
      <c r="E29" s="32">
        <v>0.64</v>
      </c>
      <c r="F29" s="32">
        <v>0.56999999999999995</v>
      </c>
      <c r="G29" s="32">
        <v>0.52</v>
      </c>
      <c r="H29" s="33">
        <v>0.44</v>
      </c>
      <c r="I29" s="32">
        <v>0.28000000000000003</v>
      </c>
      <c r="J29" s="1"/>
      <c r="K29" s="1"/>
      <c r="L29" s="1"/>
      <c r="N29" s="17"/>
      <c r="P29" s="6"/>
      <c r="Q29" s="6"/>
      <c r="R29" s="6"/>
    </row>
    <row r="30" spans="1:21" x14ac:dyDescent="0.25">
      <c r="A30" s="1" t="s">
        <v>11</v>
      </c>
      <c r="B30" s="32"/>
      <c r="C30" s="32"/>
      <c r="D30" s="32"/>
      <c r="E30" s="29">
        <v>71.8</v>
      </c>
      <c r="F30" s="29">
        <v>70.3</v>
      </c>
      <c r="G30" s="29">
        <v>66.7</v>
      </c>
      <c r="H30" s="29">
        <v>72.3</v>
      </c>
      <c r="I30" s="29">
        <v>54.9</v>
      </c>
      <c r="J30" s="1">
        <v>37.200000000000003</v>
      </c>
    </row>
    <row r="31" spans="1:21" x14ac:dyDescent="0.25">
      <c r="A31" s="1" t="s">
        <v>12</v>
      </c>
      <c r="B31" s="29"/>
      <c r="C31" s="29"/>
      <c r="D31" s="29"/>
      <c r="E31" s="29"/>
      <c r="F31" s="29"/>
      <c r="G31" s="29">
        <v>3.5</v>
      </c>
      <c r="H31" s="29">
        <v>4</v>
      </c>
      <c r="I31" s="29">
        <v>3.2</v>
      </c>
      <c r="J31" s="1">
        <v>2</v>
      </c>
    </row>
    <row r="32" spans="1:21" x14ac:dyDescent="0.25">
      <c r="A32" s="1" t="s">
        <v>13</v>
      </c>
      <c r="B32" s="29"/>
      <c r="C32" s="29"/>
      <c r="D32" s="29"/>
      <c r="E32" s="29"/>
      <c r="F32" s="29"/>
      <c r="G32" s="29">
        <v>351.3</v>
      </c>
      <c r="H32" s="29">
        <v>377</v>
      </c>
      <c r="I32" s="29">
        <v>312</v>
      </c>
      <c r="J32" s="1">
        <v>205</v>
      </c>
    </row>
    <row r="33" spans="1:18" s="6" customFormat="1" ht="30" x14ac:dyDescent="0.25">
      <c r="A33" s="10" t="s">
        <v>14</v>
      </c>
      <c r="B33" s="34">
        <f>B34*B35</f>
        <v>57.715800000000002</v>
      </c>
      <c r="C33" s="34">
        <f>C34*C35</f>
        <v>59.246999999999993</v>
      </c>
      <c r="D33" s="34">
        <f>D34*D35</f>
        <v>60.656399999999998</v>
      </c>
      <c r="E33" s="34">
        <f>E34*E35</f>
        <v>63.861220000000003</v>
      </c>
      <c r="F33" s="34">
        <f>F34*F35</f>
        <v>61.421199999999999</v>
      </c>
      <c r="G33" s="26">
        <v>58.4</v>
      </c>
      <c r="H33" s="26">
        <v>63.7</v>
      </c>
      <c r="I33" s="26">
        <v>46</v>
      </c>
      <c r="J33" s="5">
        <v>28.1</v>
      </c>
      <c r="P33"/>
      <c r="Q33"/>
      <c r="R33"/>
    </row>
    <row r="34" spans="1:18" s="6" customFormat="1" x14ac:dyDescent="0.25">
      <c r="A34" s="10" t="s">
        <v>22</v>
      </c>
      <c r="B34" s="28">
        <f>B29*B24+(1-B29)*B27</f>
        <v>66.34</v>
      </c>
      <c r="C34" s="28">
        <f t="shared" ref="C34:H34" si="4">C29*C24+(1-C29)*C27</f>
        <v>68.099999999999994</v>
      </c>
      <c r="D34" s="28">
        <f t="shared" si="4"/>
        <v>69.72</v>
      </c>
      <c r="E34" s="28">
        <f>E29*E24+(1-E29)*E27</f>
        <v>73.828000000000003</v>
      </c>
      <c r="F34" s="28">
        <f t="shared" si="4"/>
        <v>71.42</v>
      </c>
      <c r="G34" s="28">
        <f t="shared" si="4"/>
        <v>67.967999999999989</v>
      </c>
      <c r="H34" s="28">
        <f t="shared" si="4"/>
        <v>76.012</v>
      </c>
      <c r="I34" s="26"/>
      <c r="J34" s="5"/>
    </row>
    <row r="35" spans="1:18" s="6" customFormat="1" x14ac:dyDescent="0.25">
      <c r="A35" s="10"/>
      <c r="B35" s="35">
        <v>0.87</v>
      </c>
      <c r="C35" s="35">
        <v>0.87</v>
      </c>
      <c r="D35" s="35">
        <v>0.87</v>
      </c>
      <c r="E35" s="35">
        <v>0.86499999999999999</v>
      </c>
      <c r="F35" s="35">
        <v>0.86</v>
      </c>
      <c r="G35" s="31">
        <f>G33/G34</f>
        <v>0.85922787193973649</v>
      </c>
      <c r="H35" s="31">
        <f>H33/H34</f>
        <v>0.83802557490922491</v>
      </c>
      <c r="I35" s="26"/>
      <c r="J35" s="5"/>
    </row>
    <row r="36" spans="1:18" ht="15" customHeight="1" x14ac:dyDescent="0.25">
      <c r="A36" s="391" t="s">
        <v>15</v>
      </c>
      <c r="B36" s="391"/>
      <c r="C36" s="391"/>
      <c r="D36" s="391"/>
      <c r="E36" s="391"/>
      <c r="F36" s="391"/>
      <c r="G36" s="391"/>
      <c r="H36" s="391"/>
      <c r="I36" s="391"/>
      <c r="J36" s="391"/>
      <c r="K36" s="3"/>
      <c r="L36" s="3"/>
      <c r="P36" s="6"/>
      <c r="Q36" s="6"/>
      <c r="R36" s="6"/>
    </row>
    <row r="37" spans="1:18" x14ac:dyDescent="0.25">
      <c r="A37" s="1" t="s">
        <v>16</v>
      </c>
      <c r="B37" s="1"/>
      <c r="C37" s="1"/>
      <c r="D37" s="1"/>
      <c r="E37" s="1"/>
      <c r="F37" s="1"/>
      <c r="G37" s="1">
        <v>5.0999999999999996</v>
      </c>
      <c r="H37" s="1">
        <v>7.5</v>
      </c>
      <c r="I37" s="1">
        <v>7.6</v>
      </c>
      <c r="J37" s="1">
        <v>9</v>
      </c>
    </row>
    <row r="38" spans="1:18" x14ac:dyDescent="0.25">
      <c r="A38" s="1" t="s">
        <v>17</v>
      </c>
      <c r="B38" s="1"/>
      <c r="C38" s="1"/>
      <c r="D38" s="1"/>
      <c r="E38" s="1"/>
      <c r="F38" s="1"/>
      <c r="G38" s="1">
        <v>6.9</v>
      </c>
      <c r="H38" s="1">
        <v>8.1999999999999993</v>
      </c>
      <c r="I38" s="1">
        <v>6.1</v>
      </c>
      <c r="J38" s="1">
        <v>4</v>
      </c>
    </row>
    <row r="39" spans="1:18" ht="30" x14ac:dyDescent="0.25">
      <c r="A39" s="3" t="s">
        <v>18</v>
      </c>
      <c r="B39" s="3"/>
      <c r="C39" s="3"/>
      <c r="D39" s="3"/>
      <c r="E39" s="3"/>
      <c r="F39" s="3"/>
      <c r="G39" s="1">
        <v>14.8</v>
      </c>
      <c r="H39" s="1">
        <v>13.3</v>
      </c>
      <c r="I39" s="1">
        <v>13.5</v>
      </c>
      <c r="J39" s="1">
        <v>15.2</v>
      </c>
    </row>
    <row r="40" spans="1:18" ht="15" customHeight="1" x14ac:dyDescent="0.25">
      <c r="A40" s="391" t="s">
        <v>19</v>
      </c>
      <c r="B40" s="391"/>
      <c r="C40" s="391"/>
      <c r="D40" s="391"/>
      <c r="E40" s="391"/>
      <c r="F40" s="391"/>
      <c r="G40" s="391"/>
      <c r="H40" s="391"/>
      <c r="I40" s="391"/>
      <c r="J40" s="391"/>
      <c r="K40" s="3"/>
      <c r="L40" s="3"/>
    </row>
    <row r="41" spans="1:18" x14ac:dyDescent="0.25">
      <c r="A41" s="1" t="s">
        <v>16</v>
      </c>
      <c r="B41" s="1"/>
      <c r="C41" s="1"/>
      <c r="D41" s="1"/>
      <c r="E41" s="1"/>
      <c r="F41" s="1"/>
      <c r="G41" s="4">
        <v>94685</v>
      </c>
      <c r="H41" s="4">
        <v>133385</v>
      </c>
      <c r="I41" s="4">
        <v>107123</v>
      </c>
      <c r="J41" s="1">
        <v>88018</v>
      </c>
    </row>
    <row r="42" spans="1:18" x14ac:dyDescent="0.25">
      <c r="A42" s="1" t="s">
        <v>17</v>
      </c>
      <c r="B42" s="1"/>
      <c r="C42" s="1"/>
      <c r="D42" s="1"/>
      <c r="E42" s="1"/>
      <c r="F42" s="1"/>
      <c r="G42" s="4">
        <v>128723</v>
      </c>
      <c r="H42" s="4">
        <v>144837</v>
      </c>
      <c r="I42" s="4">
        <v>86241</v>
      </c>
      <c r="J42" s="1">
        <v>38908</v>
      </c>
    </row>
    <row r="43" spans="1:18" ht="30" x14ac:dyDescent="0.25">
      <c r="A43" s="3" t="s">
        <v>18</v>
      </c>
      <c r="B43" s="3"/>
      <c r="C43" s="3"/>
      <c r="D43" s="3"/>
      <c r="E43" s="3"/>
      <c r="F43" s="3"/>
      <c r="G43" s="4">
        <v>276430</v>
      </c>
      <c r="H43" s="4">
        <v>234862</v>
      </c>
      <c r="I43" s="4">
        <v>191313</v>
      </c>
      <c r="J43" s="1">
        <v>147674</v>
      </c>
    </row>
    <row r="47" spans="1:18" x14ac:dyDescent="0.25">
      <c r="A47" t="s">
        <v>20</v>
      </c>
      <c r="G47">
        <f>G18*365*G33</f>
        <v>1090292084</v>
      </c>
      <c r="H47">
        <f>H18*365*H33</f>
        <v>1129044280</v>
      </c>
      <c r="I47">
        <f>I18*365*I33</f>
        <v>652207550</v>
      </c>
      <c r="J47">
        <f>J18*365*J33</f>
        <v>272761361</v>
      </c>
    </row>
    <row r="48" spans="1:18" x14ac:dyDescent="0.25">
      <c r="A48" t="s">
        <v>21</v>
      </c>
      <c r="G48">
        <v>1168774000</v>
      </c>
      <c r="H48">
        <v>1187660000</v>
      </c>
      <c r="I48">
        <v>652187000</v>
      </c>
      <c r="J48">
        <v>273938000</v>
      </c>
      <c r="L48">
        <v>2024</v>
      </c>
    </row>
    <row r="49" spans="1:14" x14ac:dyDescent="0.25">
      <c r="L49" t="s">
        <v>30</v>
      </c>
      <c r="M49">
        <v>80.53</v>
      </c>
    </row>
    <row r="50" spans="1:14" x14ac:dyDescent="0.25">
      <c r="A50" t="s">
        <v>22</v>
      </c>
      <c r="G50" s="12">
        <f>G47/G48</f>
        <v>0.93285107642709364</v>
      </c>
      <c r="H50" s="12">
        <f>H47/H48</f>
        <v>0.95064604348045734</v>
      </c>
      <c r="I50" s="12">
        <f>I47/I48</f>
        <v>1.0000315093677121</v>
      </c>
      <c r="J50" s="12">
        <f>J47/J48</f>
        <v>0.99570472515678732</v>
      </c>
      <c r="L50" t="s">
        <v>31</v>
      </c>
      <c r="M50">
        <v>81.95</v>
      </c>
      <c r="N50">
        <f>AVERAGE(M49:M51)</f>
        <v>83.160000000000011</v>
      </c>
    </row>
    <row r="51" spans="1:14" x14ac:dyDescent="0.25">
      <c r="L51" t="s">
        <v>32</v>
      </c>
      <c r="M51">
        <v>87</v>
      </c>
    </row>
    <row r="52" spans="1:14" x14ac:dyDescent="0.25">
      <c r="L52" t="s">
        <v>33</v>
      </c>
      <c r="M52">
        <v>86.31</v>
      </c>
    </row>
    <row r="53" spans="1:14" x14ac:dyDescent="0.25">
      <c r="L53" t="s">
        <v>34</v>
      </c>
      <c r="M53">
        <v>81.11</v>
      </c>
      <c r="N53" s="7">
        <f>AVERAGE(M52:M54)</f>
        <v>84.13666666666667</v>
      </c>
    </row>
    <row r="54" spans="1:14" x14ac:dyDescent="0.25">
      <c r="L54" t="s">
        <v>35</v>
      </c>
      <c r="M54">
        <v>84.99</v>
      </c>
    </row>
    <row r="55" spans="1:14" x14ac:dyDescent="0.25">
      <c r="L55" t="s">
        <v>36</v>
      </c>
      <c r="M55">
        <v>78.67</v>
      </c>
    </row>
    <row r="56" spans="1:14" x14ac:dyDescent="0.25">
      <c r="L56" t="s">
        <v>37</v>
      </c>
    </row>
    <row r="57" spans="1:14" x14ac:dyDescent="0.25">
      <c r="L57" t="s">
        <v>38</v>
      </c>
      <c r="M57">
        <v>80.72</v>
      </c>
    </row>
    <row r="58" spans="1:14" x14ac:dyDescent="0.25">
      <c r="L58" t="s">
        <v>39</v>
      </c>
      <c r="M58">
        <v>81.510000000000005</v>
      </c>
    </row>
    <row r="59" spans="1:14" x14ac:dyDescent="0.25">
      <c r="L59" t="s">
        <v>40</v>
      </c>
      <c r="M59">
        <v>80.86</v>
      </c>
    </row>
    <row r="60" spans="1:14" x14ac:dyDescent="0.25">
      <c r="L60" t="s">
        <v>41</v>
      </c>
      <c r="M60">
        <v>80.34</v>
      </c>
    </row>
    <row r="61" spans="1:14" x14ac:dyDescent="0.25">
      <c r="H61" s="6" t="s">
        <v>105</v>
      </c>
      <c r="M61" s="7">
        <f>AVERAGE(M49:M60)</f>
        <v>82.180909090909097</v>
      </c>
    </row>
    <row r="62" spans="1:14" x14ac:dyDescent="0.25">
      <c r="L62">
        <v>2025</v>
      </c>
    </row>
    <row r="63" spans="1:14" x14ac:dyDescent="0.25">
      <c r="L63" t="s">
        <v>30</v>
      </c>
      <c r="M63">
        <v>79.92</v>
      </c>
    </row>
    <row r="64" spans="1:14" x14ac:dyDescent="0.25">
      <c r="H64" t="s">
        <v>106</v>
      </c>
      <c r="L64" t="s">
        <v>31</v>
      </c>
      <c r="M64">
        <v>79.53</v>
      </c>
    </row>
    <row r="65" spans="8:13" x14ac:dyDescent="0.25">
      <c r="H65" t="s">
        <v>107</v>
      </c>
      <c r="L65" t="s">
        <v>32</v>
      </c>
      <c r="M65">
        <v>79.13</v>
      </c>
    </row>
    <row r="66" spans="8:13" x14ac:dyDescent="0.25">
      <c r="H66" t="s">
        <v>108</v>
      </c>
      <c r="L66" t="s">
        <v>33</v>
      </c>
      <c r="M66">
        <v>78.69</v>
      </c>
    </row>
    <row r="67" spans="8:13" x14ac:dyDescent="0.25">
      <c r="L67" t="s">
        <v>34</v>
      </c>
      <c r="M67">
        <v>78.45</v>
      </c>
    </row>
    <row r="68" spans="8:13" x14ac:dyDescent="0.25">
      <c r="L68" t="s">
        <v>35</v>
      </c>
      <c r="M68">
        <v>78.099999999999994</v>
      </c>
    </row>
    <row r="69" spans="8:13" x14ac:dyDescent="0.25">
      <c r="L69" t="s">
        <v>36</v>
      </c>
      <c r="M69">
        <v>77.72</v>
      </c>
    </row>
    <row r="70" spans="8:13" x14ac:dyDescent="0.25">
      <c r="L70" t="s">
        <v>37</v>
      </c>
      <c r="M70">
        <v>77.34</v>
      </c>
    </row>
    <row r="71" spans="8:13" x14ac:dyDescent="0.25">
      <c r="L71" t="s">
        <v>38</v>
      </c>
      <c r="M71">
        <v>76.59</v>
      </c>
    </row>
    <row r="72" spans="8:13" x14ac:dyDescent="0.25">
      <c r="L72" t="s">
        <v>39</v>
      </c>
      <c r="M72">
        <v>76.38</v>
      </c>
    </row>
    <row r="73" spans="8:13" x14ac:dyDescent="0.25">
      <c r="L73" t="s">
        <v>40</v>
      </c>
      <c r="M73">
        <v>75.78</v>
      </c>
    </row>
    <row r="74" spans="8:13" x14ac:dyDescent="0.25">
      <c r="L74" t="s">
        <v>41</v>
      </c>
      <c r="M74">
        <v>76.22</v>
      </c>
    </row>
    <row r="75" spans="8:13" x14ac:dyDescent="0.25">
      <c r="M75" s="7">
        <f>AVERAGE(M63:M74)</f>
        <v>77.82083333333334</v>
      </c>
    </row>
  </sheetData>
  <mergeCells count="7">
    <mergeCell ref="K2:L2"/>
    <mergeCell ref="A5:J5"/>
    <mergeCell ref="A21:J21"/>
    <mergeCell ref="A36:J36"/>
    <mergeCell ref="A40:J40"/>
    <mergeCell ref="G2:H2"/>
    <mergeCell ref="I2:J2"/>
  </mergeCell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4496-28E4-49E1-92CE-CF26E1EFE838}">
  <dimension ref="A2:J61"/>
  <sheetViews>
    <sheetView zoomScale="90" zoomScaleNormal="90" workbookViewId="0">
      <selection activeCell="J31" sqref="J31"/>
    </sheetView>
  </sheetViews>
  <sheetFormatPr defaultRowHeight="15" x14ac:dyDescent="0.25"/>
  <cols>
    <col min="1" max="1" width="26" style="19" customWidth="1"/>
    <col min="2" max="2" width="15.140625" style="19" customWidth="1"/>
    <col min="3" max="3" width="19.85546875" style="19" bestFit="1" customWidth="1"/>
    <col min="4" max="4" width="18" style="19" customWidth="1"/>
    <col min="5" max="5" width="22.5703125" style="19" customWidth="1"/>
    <col min="6" max="7" width="29.42578125" style="19" bestFit="1" customWidth="1"/>
    <col min="8" max="8" width="30" style="19" customWidth="1"/>
    <col min="9" max="9" width="10" style="19" customWidth="1"/>
    <col min="10" max="10" width="26.140625" style="19" bestFit="1" customWidth="1"/>
    <col min="11" max="16384" width="9.140625" style="19"/>
  </cols>
  <sheetData>
    <row r="2" spans="1:10" ht="45" x14ac:dyDescent="0.25">
      <c r="A2" s="382" t="s">
        <v>176</v>
      </c>
      <c r="B2" s="383" t="s">
        <v>367</v>
      </c>
      <c r="C2" s="383" t="s">
        <v>369</v>
      </c>
      <c r="D2" s="384" t="s">
        <v>374</v>
      </c>
      <c r="E2" s="385" t="s">
        <v>368</v>
      </c>
      <c r="F2" s="21" t="s">
        <v>183</v>
      </c>
      <c r="G2" s="39" t="s">
        <v>182</v>
      </c>
      <c r="H2" s="39" t="s">
        <v>181</v>
      </c>
    </row>
    <row r="3" spans="1:10" x14ac:dyDescent="0.25">
      <c r="A3" s="376" t="s">
        <v>172</v>
      </c>
      <c r="B3" s="367"/>
      <c r="C3" s="367"/>
      <c r="D3" s="367"/>
      <c r="E3" s="368"/>
      <c r="G3" s="37"/>
      <c r="H3" s="37"/>
    </row>
    <row r="4" spans="1:10" x14ac:dyDescent="0.25">
      <c r="A4" s="377" t="s">
        <v>171</v>
      </c>
      <c r="B4" s="354">
        <v>1</v>
      </c>
      <c r="C4" s="354" t="s">
        <v>370</v>
      </c>
      <c r="D4" s="355">
        <v>221.8</v>
      </c>
      <c r="E4" s="356">
        <v>50.8</v>
      </c>
      <c r="F4" s="351">
        <v>28.7</v>
      </c>
      <c r="G4" s="352">
        <v>26.4</v>
      </c>
      <c r="H4" s="352">
        <v>20.8</v>
      </c>
    </row>
    <row r="5" spans="1:10" x14ac:dyDescent="0.25">
      <c r="A5" s="377" t="s">
        <v>166</v>
      </c>
      <c r="B5" s="357">
        <v>1</v>
      </c>
      <c r="C5" s="358" t="s">
        <v>370</v>
      </c>
      <c r="D5" s="359">
        <v>40.1</v>
      </c>
      <c r="E5" s="360">
        <v>6</v>
      </c>
      <c r="F5" s="351">
        <v>4.4000000000000004</v>
      </c>
      <c r="G5" s="352">
        <v>2.5</v>
      </c>
      <c r="H5" s="352">
        <v>0.4</v>
      </c>
    </row>
    <row r="6" spans="1:10" x14ac:dyDescent="0.25">
      <c r="A6" s="377" t="s">
        <v>165</v>
      </c>
      <c r="B6" s="361">
        <v>0.84599999999999997</v>
      </c>
      <c r="C6" s="361" t="s">
        <v>370</v>
      </c>
      <c r="D6" s="359">
        <v>0.3</v>
      </c>
      <c r="E6" s="360">
        <v>0.1</v>
      </c>
      <c r="F6" s="351">
        <v>0.2</v>
      </c>
      <c r="G6" s="352">
        <v>0.2</v>
      </c>
      <c r="H6" s="352">
        <v>0.3</v>
      </c>
      <c r="J6" s="19" t="s">
        <v>180</v>
      </c>
    </row>
    <row r="7" spans="1:10" x14ac:dyDescent="0.25">
      <c r="A7" s="377" t="s">
        <v>162</v>
      </c>
      <c r="B7" s="357">
        <v>0.9</v>
      </c>
      <c r="C7" s="358" t="s">
        <v>370</v>
      </c>
      <c r="D7" s="359">
        <v>1.3</v>
      </c>
      <c r="E7" s="360">
        <v>1</v>
      </c>
      <c r="F7" s="351">
        <v>1.2</v>
      </c>
      <c r="G7" s="352" t="s">
        <v>81</v>
      </c>
      <c r="H7" s="352" t="s">
        <v>81</v>
      </c>
    </row>
    <row r="8" spans="1:10" x14ac:dyDescent="0.25">
      <c r="A8" s="377" t="s">
        <v>160</v>
      </c>
      <c r="B8" s="357">
        <v>1</v>
      </c>
      <c r="C8" s="358" t="s">
        <v>370</v>
      </c>
      <c r="D8" s="359">
        <v>39.299999999999997</v>
      </c>
      <c r="E8" s="360">
        <v>2.8</v>
      </c>
      <c r="F8" s="351">
        <v>4.5999999999999996</v>
      </c>
      <c r="G8" s="352">
        <v>2.5</v>
      </c>
      <c r="H8" s="352">
        <v>0.1</v>
      </c>
    </row>
    <row r="9" spans="1:10" x14ac:dyDescent="0.25">
      <c r="A9" s="378" t="s">
        <v>159</v>
      </c>
      <c r="B9" s="369">
        <v>1</v>
      </c>
      <c r="C9" s="370" t="s">
        <v>370</v>
      </c>
      <c r="D9" s="371" t="s">
        <v>373</v>
      </c>
      <c r="E9" s="372" t="s">
        <v>373</v>
      </c>
      <c r="F9" s="351" t="s">
        <v>81</v>
      </c>
      <c r="G9" s="352" t="s">
        <v>81</v>
      </c>
      <c r="H9" s="352" t="s">
        <v>81</v>
      </c>
    </row>
    <row r="10" spans="1:10" x14ac:dyDescent="0.25">
      <c r="A10" s="376" t="s">
        <v>366</v>
      </c>
      <c r="B10" s="373"/>
      <c r="C10" s="373"/>
      <c r="D10" s="374"/>
      <c r="E10" s="375"/>
      <c r="F10" s="351"/>
      <c r="G10" s="352"/>
      <c r="H10" s="352"/>
    </row>
    <row r="11" spans="1:10" x14ac:dyDescent="0.25">
      <c r="A11" s="379" t="s">
        <v>161</v>
      </c>
      <c r="B11" s="358" t="s">
        <v>373</v>
      </c>
      <c r="C11" s="358" t="s">
        <v>372</v>
      </c>
      <c r="D11" s="359">
        <v>0.2</v>
      </c>
      <c r="E11" s="392">
        <v>0.2</v>
      </c>
      <c r="F11" s="351" t="s">
        <v>81</v>
      </c>
      <c r="G11" s="352" t="s">
        <v>81</v>
      </c>
      <c r="H11" s="352" t="s">
        <v>81</v>
      </c>
    </row>
    <row r="12" spans="1:10" x14ac:dyDescent="0.25">
      <c r="A12" s="379" t="s">
        <v>164</v>
      </c>
      <c r="B12" s="358" t="s">
        <v>373</v>
      </c>
      <c r="C12" s="358" t="s">
        <v>372</v>
      </c>
      <c r="D12" s="359">
        <v>0.1</v>
      </c>
      <c r="E12" s="392"/>
      <c r="F12" s="351">
        <v>0.1</v>
      </c>
      <c r="G12" s="352">
        <v>0.2</v>
      </c>
      <c r="H12" s="352">
        <v>0.2</v>
      </c>
    </row>
    <row r="13" spans="1:10" x14ac:dyDescent="0.25">
      <c r="A13" s="379" t="s">
        <v>169</v>
      </c>
      <c r="B13" s="358" t="s">
        <v>373</v>
      </c>
      <c r="C13" s="358" t="s">
        <v>372</v>
      </c>
      <c r="D13" s="359">
        <v>0.8</v>
      </c>
      <c r="E13" s="360">
        <v>0.9</v>
      </c>
      <c r="F13" s="351">
        <v>1.1000000000000001</v>
      </c>
      <c r="G13" s="352">
        <v>2.4</v>
      </c>
      <c r="H13" s="352">
        <v>2.2999999999999998</v>
      </c>
    </row>
    <row r="14" spans="1:10" x14ac:dyDescent="0.25">
      <c r="A14" s="379" t="s">
        <v>168</v>
      </c>
      <c r="B14" s="358" t="s">
        <v>373</v>
      </c>
      <c r="C14" s="358" t="s">
        <v>372</v>
      </c>
      <c r="D14" s="359">
        <v>1</v>
      </c>
      <c r="E14" s="360">
        <v>0.8</v>
      </c>
      <c r="F14" s="351">
        <v>1</v>
      </c>
      <c r="G14" s="352">
        <v>2.2000000000000002</v>
      </c>
      <c r="H14" s="352">
        <v>2.2999999999999998</v>
      </c>
    </row>
    <row r="15" spans="1:10" x14ac:dyDescent="0.25">
      <c r="A15" s="379" t="s">
        <v>170</v>
      </c>
      <c r="B15" s="358" t="s">
        <v>373</v>
      </c>
      <c r="C15" s="358" t="s">
        <v>372</v>
      </c>
      <c r="D15" s="359">
        <v>2.4</v>
      </c>
      <c r="E15" s="392">
        <v>2.1</v>
      </c>
      <c r="F15" s="351">
        <v>1</v>
      </c>
      <c r="G15" s="352">
        <v>2.2999999999999998</v>
      </c>
      <c r="H15" s="352">
        <v>2.4</v>
      </c>
    </row>
    <row r="16" spans="1:10" x14ac:dyDescent="0.25">
      <c r="A16" s="379" t="s">
        <v>167</v>
      </c>
      <c r="B16" s="358" t="s">
        <v>373</v>
      </c>
      <c r="C16" s="358" t="s">
        <v>372</v>
      </c>
      <c r="D16" s="359">
        <v>0.5</v>
      </c>
      <c r="E16" s="392"/>
      <c r="F16" s="351">
        <v>0.4</v>
      </c>
      <c r="G16" s="352">
        <v>1</v>
      </c>
      <c r="H16" s="352">
        <v>1.1000000000000001</v>
      </c>
    </row>
    <row r="17" spans="1:8" x14ac:dyDescent="0.25">
      <c r="A17" s="380" t="s">
        <v>163</v>
      </c>
      <c r="B17" s="370" t="s">
        <v>373</v>
      </c>
      <c r="C17" s="370" t="s">
        <v>371</v>
      </c>
      <c r="D17" s="370" t="s">
        <v>373</v>
      </c>
      <c r="E17" s="372"/>
      <c r="F17" s="351" t="s">
        <v>81</v>
      </c>
      <c r="G17" s="352" t="s">
        <v>81</v>
      </c>
      <c r="H17" s="352">
        <v>0</v>
      </c>
    </row>
    <row r="18" spans="1:8" x14ac:dyDescent="0.25">
      <c r="A18" s="381" t="s">
        <v>156</v>
      </c>
      <c r="B18" s="353"/>
      <c r="C18" s="362"/>
      <c r="D18" s="362"/>
      <c r="E18" s="363"/>
      <c r="F18" s="351"/>
      <c r="G18" s="351"/>
      <c r="H18" s="352"/>
    </row>
    <row r="19" spans="1:8" x14ac:dyDescent="0.25">
      <c r="A19" s="378" t="s">
        <v>155</v>
      </c>
      <c r="B19" s="364">
        <v>1.4999999999999999E-2</v>
      </c>
      <c r="C19" s="365" t="s">
        <v>375</v>
      </c>
      <c r="D19" s="365">
        <v>0.6</v>
      </c>
      <c r="E19" s="366">
        <v>0.1</v>
      </c>
      <c r="F19" s="351">
        <v>0</v>
      </c>
      <c r="G19" s="351">
        <v>0</v>
      </c>
      <c r="H19" s="352">
        <v>0</v>
      </c>
    </row>
    <row r="20" spans="1:8" x14ac:dyDescent="0.25">
      <c r="F20" s="19">
        <f>SUM(F4:F19)</f>
        <v>42.70000000000001</v>
      </c>
      <c r="G20" s="19">
        <f>SUM(G4:G19)</f>
        <v>39.699999999999996</v>
      </c>
      <c r="H20" s="19">
        <f>SUM(H4:H19)</f>
        <v>29.900000000000002</v>
      </c>
    </row>
    <row r="22" spans="1:8" ht="45" x14ac:dyDescent="0.25">
      <c r="A22" s="19" t="s">
        <v>176</v>
      </c>
      <c r="F22" s="21" t="s">
        <v>179</v>
      </c>
      <c r="G22" s="39" t="s">
        <v>178</v>
      </c>
      <c r="H22" s="39" t="s">
        <v>177</v>
      </c>
    </row>
    <row r="23" spans="1:8" x14ac:dyDescent="0.25">
      <c r="A23" s="59" t="s">
        <v>172</v>
      </c>
      <c r="B23" s="59"/>
      <c r="C23" s="59"/>
      <c r="D23" s="59"/>
      <c r="E23" s="59"/>
      <c r="G23" s="37"/>
      <c r="H23" s="37"/>
    </row>
    <row r="24" spans="1:8" x14ac:dyDescent="0.25">
      <c r="A24" s="58" t="s">
        <v>171</v>
      </c>
      <c r="B24" s="58"/>
      <c r="C24" s="58"/>
      <c r="D24" s="58"/>
      <c r="E24" s="58"/>
      <c r="F24" s="19">
        <v>0.8</v>
      </c>
      <c r="G24" s="37">
        <v>0.79</v>
      </c>
      <c r="H24" s="37">
        <v>0.76</v>
      </c>
    </row>
    <row r="25" spans="1:8" x14ac:dyDescent="0.25">
      <c r="A25" s="58" t="s">
        <v>170</v>
      </c>
      <c r="B25" s="58"/>
      <c r="C25" s="58"/>
      <c r="D25" s="58"/>
      <c r="E25" s="58"/>
      <c r="F25" s="19">
        <v>0.08</v>
      </c>
      <c r="G25" s="37">
        <v>0.12</v>
      </c>
      <c r="H25" s="37">
        <v>0.14000000000000001</v>
      </c>
    </row>
    <row r="26" spans="1:8" x14ac:dyDescent="0.25">
      <c r="A26" s="58" t="s">
        <v>169</v>
      </c>
      <c r="B26" s="58"/>
      <c r="C26" s="58"/>
      <c r="D26" s="58"/>
      <c r="E26" s="58"/>
      <c r="F26" s="19">
        <v>0.05</v>
      </c>
      <c r="G26" s="37">
        <v>0.11</v>
      </c>
      <c r="H26" s="37">
        <v>0.12</v>
      </c>
    </row>
    <row r="27" spans="1:8" x14ac:dyDescent="0.25">
      <c r="A27" s="58" t="s">
        <v>168</v>
      </c>
      <c r="B27" s="58"/>
      <c r="C27" s="58"/>
      <c r="D27" s="58"/>
      <c r="E27" s="58"/>
      <c r="F27" s="19">
        <v>0.01</v>
      </c>
      <c r="G27" s="37">
        <v>0.03</v>
      </c>
      <c r="H27" s="37">
        <v>0.03</v>
      </c>
    </row>
    <row r="28" spans="1:8" x14ac:dyDescent="0.25">
      <c r="A28" s="58" t="s">
        <v>167</v>
      </c>
      <c r="B28" s="58"/>
      <c r="C28" s="58"/>
      <c r="D28" s="58"/>
      <c r="E28" s="58"/>
      <c r="F28" s="19">
        <v>0.02</v>
      </c>
      <c r="G28" s="37">
        <v>0.08</v>
      </c>
      <c r="H28" s="37">
        <v>0.08</v>
      </c>
    </row>
    <row r="29" spans="1:8" x14ac:dyDescent="0.25">
      <c r="A29" s="58" t="s">
        <v>166</v>
      </c>
      <c r="B29" s="58"/>
      <c r="C29" s="58"/>
      <c r="D29" s="58"/>
      <c r="E29" s="58"/>
      <c r="F29" s="19">
        <v>0.06</v>
      </c>
      <c r="G29" s="37">
        <v>0.06</v>
      </c>
      <c r="H29" s="37">
        <v>7.0000000000000007E-2</v>
      </c>
    </row>
    <row r="30" spans="1:8" x14ac:dyDescent="0.25">
      <c r="A30" s="58" t="s">
        <v>165</v>
      </c>
      <c r="B30" s="58"/>
      <c r="C30" s="58"/>
      <c r="D30" s="58"/>
      <c r="E30" s="58"/>
      <c r="F30" s="19">
        <v>0</v>
      </c>
      <c r="G30" s="37">
        <v>0</v>
      </c>
      <c r="H30" s="37">
        <v>0</v>
      </c>
    </row>
    <row r="31" spans="1:8" x14ac:dyDescent="0.25">
      <c r="A31" s="58" t="s">
        <v>164</v>
      </c>
      <c r="B31" s="58"/>
      <c r="C31" s="58"/>
      <c r="D31" s="58"/>
      <c r="E31" s="58"/>
      <c r="F31" s="19">
        <v>0.01</v>
      </c>
      <c r="G31" s="37">
        <v>0.01</v>
      </c>
      <c r="H31" s="37">
        <v>0.03</v>
      </c>
    </row>
    <row r="32" spans="1:8" x14ac:dyDescent="0.25">
      <c r="A32" s="58" t="s">
        <v>163</v>
      </c>
      <c r="B32" s="58"/>
      <c r="C32" s="58"/>
      <c r="D32" s="58"/>
      <c r="E32" s="58"/>
      <c r="F32" s="19" t="s">
        <v>81</v>
      </c>
      <c r="G32" s="37" t="s">
        <v>81</v>
      </c>
      <c r="H32" s="37">
        <v>0</v>
      </c>
    </row>
    <row r="33" spans="1:8" x14ac:dyDescent="0.25">
      <c r="A33" s="58" t="s">
        <v>162</v>
      </c>
      <c r="B33" s="58"/>
      <c r="C33" s="58"/>
      <c r="D33" s="58"/>
      <c r="E33" s="58"/>
      <c r="F33" s="19">
        <v>0.02</v>
      </c>
      <c r="G33" s="37" t="s">
        <v>81</v>
      </c>
      <c r="H33" s="37" t="s">
        <v>81</v>
      </c>
    </row>
    <row r="34" spans="1:8" x14ac:dyDescent="0.25">
      <c r="A34" s="58" t="s">
        <v>161</v>
      </c>
      <c r="B34" s="58"/>
      <c r="C34" s="58"/>
      <c r="D34" s="58"/>
      <c r="E34" s="58"/>
      <c r="F34" s="19" t="s">
        <v>81</v>
      </c>
      <c r="G34" s="37" t="s">
        <v>81</v>
      </c>
      <c r="H34" s="37" t="s">
        <v>81</v>
      </c>
    </row>
    <row r="35" spans="1:8" x14ac:dyDescent="0.25">
      <c r="A35" s="58" t="s">
        <v>160</v>
      </c>
      <c r="B35" s="58"/>
      <c r="C35" s="58"/>
      <c r="D35" s="58"/>
      <c r="E35" s="58"/>
      <c r="F35" s="19">
        <v>0.1</v>
      </c>
      <c r="G35" s="37">
        <v>0.03</v>
      </c>
      <c r="H35" s="37">
        <v>0</v>
      </c>
    </row>
    <row r="36" spans="1:8" x14ac:dyDescent="0.25">
      <c r="A36" s="58" t="s">
        <v>159</v>
      </c>
      <c r="B36" s="58"/>
      <c r="C36" s="58"/>
      <c r="D36" s="58"/>
      <c r="E36" s="58"/>
      <c r="F36" s="19" t="s">
        <v>81</v>
      </c>
      <c r="G36" s="37">
        <v>0</v>
      </c>
      <c r="H36" s="37" t="s">
        <v>81</v>
      </c>
    </row>
    <row r="37" spans="1:8" x14ac:dyDescent="0.25">
      <c r="A37" s="59" t="s">
        <v>158</v>
      </c>
      <c r="B37" s="59"/>
      <c r="C37" s="59"/>
      <c r="D37" s="59"/>
      <c r="E37" s="59"/>
      <c r="G37" s="37"/>
      <c r="H37" s="37"/>
    </row>
    <row r="38" spans="1:8" x14ac:dyDescent="0.25">
      <c r="A38" s="58" t="s">
        <v>157</v>
      </c>
      <c r="B38" s="58"/>
      <c r="C38" s="58"/>
      <c r="D38" s="58"/>
      <c r="E38" s="58"/>
      <c r="F38" s="19" t="s">
        <v>81</v>
      </c>
      <c r="G38" s="19" t="s">
        <v>81</v>
      </c>
      <c r="H38" s="37" t="s">
        <v>81</v>
      </c>
    </row>
    <row r="39" spans="1:8" x14ac:dyDescent="0.25">
      <c r="A39" s="59" t="s">
        <v>156</v>
      </c>
      <c r="B39" s="59"/>
      <c r="C39" s="59"/>
      <c r="D39" s="59"/>
      <c r="E39" s="59"/>
      <c r="H39" s="37"/>
    </row>
    <row r="40" spans="1:8" x14ac:dyDescent="0.25">
      <c r="A40" s="58" t="s">
        <v>155</v>
      </c>
      <c r="B40" s="58"/>
      <c r="C40" s="58"/>
      <c r="D40" s="58"/>
      <c r="E40" s="58"/>
      <c r="F40" s="19">
        <v>0.02</v>
      </c>
      <c r="G40" s="19">
        <v>0.02</v>
      </c>
      <c r="H40" s="37">
        <v>0.02</v>
      </c>
    </row>
    <row r="43" spans="1:8" ht="45" x14ac:dyDescent="0.25">
      <c r="A43" s="19" t="s">
        <v>176</v>
      </c>
      <c r="F43" s="21" t="s">
        <v>175</v>
      </c>
      <c r="G43" s="39" t="s">
        <v>174</v>
      </c>
      <c r="H43" s="39" t="s">
        <v>173</v>
      </c>
    </row>
    <row r="44" spans="1:8" x14ac:dyDescent="0.25">
      <c r="A44" s="59" t="s">
        <v>172</v>
      </c>
      <c r="B44" s="59"/>
      <c r="C44" s="59"/>
      <c r="D44" s="59"/>
      <c r="E44" s="59"/>
      <c r="G44" s="37"/>
      <c r="H44" s="37"/>
    </row>
    <row r="45" spans="1:8" x14ac:dyDescent="0.25">
      <c r="A45" s="58" t="s">
        <v>171</v>
      </c>
      <c r="B45" s="58"/>
      <c r="C45" s="58"/>
      <c r="D45" s="58"/>
      <c r="E45" s="58"/>
      <c r="F45" s="19">
        <v>0.03</v>
      </c>
      <c r="G45" s="37" t="s">
        <v>81</v>
      </c>
      <c r="H45" s="37" t="s">
        <v>81</v>
      </c>
    </row>
    <row r="46" spans="1:8" x14ac:dyDescent="0.25">
      <c r="A46" s="58" t="s">
        <v>170</v>
      </c>
      <c r="B46" s="58"/>
      <c r="C46" s="58"/>
      <c r="D46" s="58"/>
      <c r="E46" s="58"/>
      <c r="F46" s="19">
        <v>0.27</v>
      </c>
      <c r="G46" s="37">
        <v>0.36</v>
      </c>
      <c r="H46" s="37">
        <v>0.35</v>
      </c>
    </row>
    <row r="47" spans="1:8" x14ac:dyDescent="0.25">
      <c r="A47" s="58" t="s">
        <v>169</v>
      </c>
      <c r="B47" s="58"/>
      <c r="C47" s="58"/>
      <c r="D47" s="58"/>
      <c r="E47" s="58"/>
      <c r="F47" s="19" t="s">
        <v>81</v>
      </c>
      <c r="G47" s="37" t="s">
        <v>81</v>
      </c>
      <c r="H47" s="37" t="s">
        <v>81</v>
      </c>
    </row>
    <row r="48" spans="1:8" x14ac:dyDescent="0.25">
      <c r="A48" s="58" t="s">
        <v>168</v>
      </c>
      <c r="B48" s="58"/>
      <c r="C48" s="58"/>
      <c r="D48" s="58"/>
      <c r="E48" s="58"/>
      <c r="F48" s="19" t="s">
        <v>81</v>
      </c>
      <c r="G48" s="37" t="s">
        <v>81</v>
      </c>
      <c r="H48" s="37" t="s">
        <v>81</v>
      </c>
    </row>
    <row r="49" spans="1:8" x14ac:dyDescent="0.25">
      <c r="A49" s="58" t="s">
        <v>167</v>
      </c>
      <c r="B49" s="58"/>
      <c r="C49" s="58"/>
      <c r="D49" s="58"/>
      <c r="E49" s="58"/>
      <c r="F49" s="19">
        <v>0.06</v>
      </c>
      <c r="G49" s="37">
        <v>0.05</v>
      </c>
      <c r="H49" s="37">
        <v>7.0000000000000007E-2</v>
      </c>
    </row>
    <row r="50" spans="1:8" x14ac:dyDescent="0.25">
      <c r="A50" s="58" t="s">
        <v>166</v>
      </c>
      <c r="B50" s="58"/>
      <c r="C50" s="58"/>
      <c r="D50" s="58"/>
      <c r="E50" s="58"/>
      <c r="F50" s="19">
        <v>0.05</v>
      </c>
      <c r="G50" s="37">
        <v>0.03</v>
      </c>
      <c r="H50" s="37">
        <v>0.05</v>
      </c>
    </row>
    <row r="51" spans="1:8" x14ac:dyDescent="0.25">
      <c r="A51" s="58" t="s">
        <v>165</v>
      </c>
      <c r="B51" s="58"/>
      <c r="C51" s="58"/>
      <c r="D51" s="58"/>
      <c r="E51" s="58"/>
      <c r="F51" s="19" t="s">
        <v>81</v>
      </c>
      <c r="G51" s="37" t="s">
        <v>81</v>
      </c>
      <c r="H51" s="37" t="s">
        <v>81</v>
      </c>
    </row>
    <row r="52" spans="1:8" x14ac:dyDescent="0.25">
      <c r="A52" s="58" t="s">
        <v>164</v>
      </c>
      <c r="B52" s="58"/>
      <c r="C52" s="58"/>
      <c r="D52" s="58"/>
      <c r="E52" s="58"/>
      <c r="F52" s="19">
        <v>0.01</v>
      </c>
      <c r="G52" s="37">
        <v>0.01</v>
      </c>
      <c r="H52" s="37">
        <v>0.01</v>
      </c>
    </row>
    <row r="53" spans="1:8" x14ac:dyDescent="0.25">
      <c r="A53" s="58" t="s">
        <v>163</v>
      </c>
      <c r="B53" s="58"/>
      <c r="C53" s="58"/>
      <c r="D53" s="58"/>
      <c r="E53" s="58"/>
      <c r="F53" s="19" t="s">
        <v>81</v>
      </c>
      <c r="G53" s="37" t="s">
        <v>81</v>
      </c>
      <c r="H53" s="37" t="s">
        <v>81</v>
      </c>
    </row>
    <row r="54" spans="1:8" x14ac:dyDescent="0.25">
      <c r="A54" s="58" t="s">
        <v>162</v>
      </c>
      <c r="B54" s="58"/>
      <c r="C54" s="58"/>
      <c r="D54" s="58"/>
      <c r="E54" s="58"/>
      <c r="F54" s="19" t="s">
        <v>81</v>
      </c>
      <c r="G54" s="37" t="s">
        <v>81</v>
      </c>
      <c r="H54" s="37" t="s">
        <v>81</v>
      </c>
    </row>
    <row r="55" spans="1:8" x14ac:dyDescent="0.25">
      <c r="A55" s="58" t="s">
        <v>161</v>
      </c>
      <c r="B55" s="58"/>
      <c r="C55" s="58"/>
      <c r="D55" s="58"/>
      <c r="E55" s="58"/>
      <c r="F55" s="19" t="s">
        <v>81</v>
      </c>
      <c r="G55" s="37" t="s">
        <v>81</v>
      </c>
      <c r="H55" s="37" t="s">
        <v>81</v>
      </c>
    </row>
    <row r="56" spans="1:8" x14ac:dyDescent="0.25">
      <c r="A56" s="58" t="s">
        <v>160</v>
      </c>
      <c r="B56" s="58"/>
      <c r="C56" s="58"/>
      <c r="D56" s="58"/>
      <c r="E56" s="58"/>
      <c r="F56" s="19">
        <v>0.01</v>
      </c>
      <c r="G56" s="37" t="s">
        <v>81</v>
      </c>
      <c r="H56" s="37" t="s">
        <v>81</v>
      </c>
    </row>
    <row r="57" spans="1:8" x14ac:dyDescent="0.25">
      <c r="A57" s="58" t="s">
        <v>159</v>
      </c>
      <c r="B57" s="58"/>
      <c r="C57" s="58"/>
      <c r="D57" s="58"/>
      <c r="E57" s="58"/>
      <c r="F57" s="19" t="s">
        <v>81</v>
      </c>
      <c r="G57" s="37" t="s">
        <v>81</v>
      </c>
      <c r="H57" s="37" t="s">
        <v>81</v>
      </c>
    </row>
    <row r="58" spans="1:8" x14ac:dyDescent="0.25">
      <c r="A58" s="59" t="s">
        <v>158</v>
      </c>
      <c r="B58" s="59"/>
      <c r="C58" s="59"/>
      <c r="D58" s="59"/>
      <c r="E58" s="59"/>
      <c r="G58" s="37"/>
      <c r="H58" s="37"/>
    </row>
    <row r="59" spans="1:8" x14ac:dyDescent="0.25">
      <c r="A59" s="58" t="s">
        <v>157</v>
      </c>
      <c r="B59" s="58"/>
      <c r="C59" s="58"/>
      <c r="D59" s="58"/>
      <c r="E59" s="58"/>
      <c r="F59" s="19" t="s">
        <v>81</v>
      </c>
      <c r="G59" s="37" t="s">
        <v>81</v>
      </c>
      <c r="H59" s="37" t="s">
        <v>81</v>
      </c>
    </row>
    <row r="60" spans="1:8" x14ac:dyDescent="0.25">
      <c r="A60" s="59" t="s">
        <v>156</v>
      </c>
      <c r="B60" s="59"/>
      <c r="C60" s="59"/>
      <c r="D60" s="59"/>
      <c r="E60" s="59"/>
      <c r="H60" s="37"/>
    </row>
    <row r="61" spans="1:8" x14ac:dyDescent="0.25">
      <c r="A61" s="58" t="s">
        <v>155</v>
      </c>
      <c r="B61" s="58"/>
      <c r="C61" s="58"/>
      <c r="D61" s="58"/>
      <c r="E61" s="58"/>
      <c r="F61" s="19" t="s">
        <v>81</v>
      </c>
      <c r="G61" s="37" t="s">
        <v>81</v>
      </c>
      <c r="H61" s="37" t="s">
        <v>81</v>
      </c>
    </row>
  </sheetData>
  <mergeCells count="2">
    <mergeCell ref="E15:E16"/>
    <mergeCell ref="E11:E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C115-F285-4153-81CF-C33B27F5A25A}">
  <dimension ref="A2:U29"/>
  <sheetViews>
    <sheetView workbookViewId="0">
      <selection activeCell="J2" sqref="J2:M2"/>
    </sheetView>
  </sheetViews>
  <sheetFormatPr defaultRowHeight="15" x14ac:dyDescent="0.25"/>
  <cols>
    <col min="1" max="1" width="23" style="19" customWidth="1"/>
    <col min="2" max="4" width="30" style="19" customWidth="1"/>
    <col min="5" max="5" width="29" style="19" customWidth="1"/>
    <col min="6" max="7" width="10" style="19" customWidth="1"/>
    <col min="8" max="16384" width="9.140625" style="19"/>
  </cols>
  <sheetData>
    <row r="2" spans="1:21" ht="30" x14ac:dyDescent="0.25">
      <c r="B2" s="21" t="s">
        <v>154</v>
      </c>
      <c r="C2" s="21" t="s">
        <v>153</v>
      </c>
      <c r="D2" s="21" t="s">
        <v>152</v>
      </c>
      <c r="E2" s="19" t="s">
        <v>151</v>
      </c>
      <c r="F2" s="19" t="s">
        <v>150</v>
      </c>
      <c r="J2" s="395" t="s">
        <v>149</v>
      </c>
      <c r="K2" s="396"/>
      <c r="L2" s="396"/>
      <c r="M2" s="397"/>
      <c r="N2" s="395" t="s">
        <v>148</v>
      </c>
      <c r="O2" s="396"/>
      <c r="P2" s="396"/>
      <c r="Q2" s="397"/>
      <c r="R2" s="395" t="s">
        <v>148</v>
      </c>
      <c r="S2" s="396"/>
      <c r="T2" s="396"/>
      <c r="U2" s="397"/>
    </row>
    <row r="3" spans="1:21" s="22" customFormat="1" ht="105" x14ac:dyDescent="0.25">
      <c r="A3" s="22" t="s">
        <v>147</v>
      </c>
      <c r="B3" s="22">
        <v>72.7</v>
      </c>
      <c r="C3" s="22">
        <v>16</v>
      </c>
      <c r="D3" s="22">
        <v>90</v>
      </c>
      <c r="E3" s="22">
        <v>88.7</v>
      </c>
      <c r="F3" s="22">
        <v>82</v>
      </c>
      <c r="J3" s="57" t="s">
        <v>144</v>
      </c>
      <c r="K3" s="398" t="s">
        <v>143</v>
      </c>
      <c r="L3" s="398"/>
      <c r="M3" s="56" t="s">
        <v>146</v>
      </c>
      <c r="N3" s="57" t="s">
        <v>144</v>
      </c>
      <c r="O3" s="398" t="s">
        <v>143</v>
      </c>
      <c r="P3" s="398"/>
      <c r="Q3" s="56" t="s">
        <v>145</v>
      </c>
      <c r="R3" s="57" t="s">
        <v>144</v>
      </c>
      <c r="S3" s="398" t="s">
        <v>143</v>
      </c>
      <c r="T3" s="398"/>
      <c r="U3" s="56" t="s">
        <v>142</v>
      </c>
    </row>
    <row r="4" spans="1:21" x14ac:dyDescent="0.25">
      <c r="A4" s="19" t="s">
        <v>131</v>
      </c>
      <c r="B4" s="19">
        <v>71</v>
      </c>
      <c r="C4" s="19">
        <v>15.2</v>
      </c>
      <c r="D4" s="19">
        <v>85.5</v>
      </c>
      <c r="E4" s="19">
        <v>86.2</v>
      </c>
      <c r="F4" s="19">
        <v>82</v>
      </c>
      <c r="J4" s="47" t="s">
        <v>141</v>
      </c>
      <c r="K4" s="46" t="s">
        <v>139</v>
      </c>
      <c r="L4" s="46" t="s">
        <v>140</v>
      </c>
      <c r="M4" s="45" t="s">
        <v>139</v>
      </c>
      <c r="N4" s="47" t="s">
        <v>141</v>
      </c>
      <c r="O4" s="46" t="s">
        <v>139</v>
      </c>
      <c r="P4" s="46" t="s">
        <v>140</v>
      </c>
      <c r="Q4" s="45" t="s">
        <v>139</v>
      </c>
      <c r="R4" s="47" t="s">
        <v>141</v>
      </c>
      <c r="S4" s="46" t="s">
        <v>139</v>
      </c>
      <c r="T4" s="46" t="s">
        <v>140</v>
      </c>
      <c r="U4" s="45" t="s">
        <v>139</v>
      </c>
    </row>
    <row r="5" spans="1:21" x14ac:dyDescent="0.25">
      <c r="A5" s="19" t="s">
        <v>130</v>
      </c>
      <c r="B5" s="19">
        <v>1.8</v>
      </c>
      <c r="C5" s="19">
        <v>0.8</v>
      </c>
      <c r="D5" s="19">
        <v>4.5</v>
      </c>
      <c r="E5" s="19">
        <v>2.6</v>
      </c>
      <c r="F5" s="19">
        <v>69</v>
      </c>
      <c r="J5" s="49"/>
      <c r="K5" s="22"/>
      <c r="L5" s="22"/>
      <c r="M5" s="48"/>
      <c r="N5" s="49"/>
      <c r="O5" s="22"/>
      <c r="P5" s="22"/>
      <c r="Q5" s="48"/>
      <c r="R5" s="49"/>
      <c r="S5" s="22"/>
      <c r="T5" s="22"/>
      <c r="U5" s="48"/>
    </row>
    <row r="6" spans="1:21" s="22" customFormat="1" x14ac:dyDescent="0.25">
      <c r="A6" s="22" t="s">
        <v>138</v>
      </c>
      <c r="B6" s="22">
        <v>196.8</v>
      </c>
      <c r="C6" s="22">
        <v>32.9</v>
      </c>
      <c r="D6" s="22">
        <v>184.7</v>
      </c>
      <c r="E6" s="22">
        <v>229.7</v>
      </c>
      <c r="F6" s="22">
        <v>86</v>
      </c>
      <c r="J6" s="44">
        <v>56.4</v>
      </c>
      <c r="K6" s="19">
        <v>10.6</v>
      </c>
      <c r="L6" s="19">
        <v>59.4</v>
      </c>
      <c r="M6" s="43">
        <v>67</v>
      </c>
      <c r="N6" s="44">
        <v>131.5</v>
      </c>
      <c r="O6" s="19">
        <v>23.3</v>
      </c>
      <c r="P6" s="19">
        <v>130.69999999999999</v>
      </c>
      <c r="Q6" s="43">
        <v>154.80000000000001</v>
      </c>
      <c r="R6" s="44">
        <v>188</v>
      </c>
      <c r="S6" s="19">
        <v>33.9</v>
      </c>
      <c r="T6" s="19">
        <v>190.1</v>
      </c>
      <c r="U6" s="43">
        <v>221.8</v>
      </c>
    </row>
    <row r="7" spans="1:21" x14ac:dyDescent="0.25">
      <c r="A7" s="19" t="s">
        <v>131</v>
      </c>
      <c r="B7" s="19">
        <v>191.3</v>
      </c>
      <c r="C7" s="19">
        <v>30.9</v>
      </c>
      <c r="D7" s="19">
        <v>173.3</v>
      </c>
      <c r="E7" s="19">
        <v>222.2</v>
      </c>
      <c r="F7" s="19">
        <v>86</v>
      </c>
      <c r="J7" s="44">
        <v>4.9000000000000004</v>
      </c>
      <c r="K7" s="19">
        <v>1</v>
      </c>
      <c r="L7" s="19">
        <v>5.6</v>
      </c>
      <c r="M7" s="43">
        <v>5.9</v>
      </c>
      <c r="N7" s="44">
        <v>31.7</v>
      </c>
      <c r="O7" s="19">
        <v>2.5</v>
      </c>
      <c r="P7" s="19">
        <v>13.9</v>
      </c>
      <c r="Q7" s="43">
        <v>34.200000000000003</v>
      </c>
      <c r="R7" s="44">
        <v>36.700000000000003</v>
      </c>
      <c r="S7" s="19">
        <v>3.5</v>
      </c>
      <c r="T7" s="19">
        <v>19.5</v>
      </c>
      <c r="U7" s="43">
        <v>40.1</v>
      </c>
    </row>
    <row r="8" spans="1:21" x14ac:dyDescent="0.25">
      <c r="A8" s="19" t="s">
        <v>130</v>
      </c>
      <c r="B8" s="19">
        <v>5.5</v>
      </c>
      <c r="C8" s="19">
        <v>2</v>
      </c>
      <c r="D8" s="19">
        <v>11.4</v>
      </c>
      <c r="E8" s="19">
        <v>7.5</v>
      </c>
      <c r="F8" s="19">
        <v>73</v>
      </c>
      <c r="J8" s="44">
        <v>0.1</v>
      </c>
      <c r="K8" s="19">
        <v>0.1</v>
      </c>
      <c r="L8" s="19">
        <v>0.5</v>
      </c>
      <c r="M8" s="43">
        <v>0.2</v>
      </c>
      <c r="N8" s="44">
        <v>0</v>
      </c>
      <c r="O8" s="19">
        <v>0</v>
      </c>
      <c r="P8" s="19">
        <v>0</v>
      </c>
      <c r="Q8" s="43">
        <v>0</v>
      </c>
      <c r="R8" s="44">
        <v>0.1</v>
      </c>
      <c r="S8" s="19">
        <v>0.1</v>
      </c>
      <c r="T8" s="19">
        <v>0.5</v>
      </c>
      <c r="U8" s="43">
        <v>0.2</v>
      </c>
    </row>
    <row r="9" spans="1:21" s="22" customFormat="1" x14ac:dyDescent="0.25">
      <c r="A9" s="22" t="s">
        <v>137</v>
      </c>
      <c r="B9" s="22">
        <v>269.60000000000002</v>
      </c>
      <c r="C9" s="22">
        <v>48.9</v>
      </c>
      <c r="D9" s="22">
        <v>274.60000000000002</v>
      </c>
      <c r="E9" s="22">
        <v>318.5</v>
      </c>
      <c r="F9" s="22">
        <v>85</v>
      </c>
      <c r="J9" s="44">
        <v>0.2</v>
      </c>
      <c r="K9" s="19">
        <v>0</v>
      </c>
      <c r="L9" s="19">
        <v>0.2</v>
      </c>
      <c r="M9" s="43">
        <v>0.3</v>
      </c>
      <c r="N9" s="44">
        <v>0</v>
      </c>
      <c r="O9" s="19">
        <v>0</v>
      </c>
      <c r="P9" s="19">
        <v>0</v>
      </c>
      <c r="Q9" s="43">
        <v>0</v>
      </c>
      <c r="R9" s="44">
        <v>0.2</v>
      </c>
      <c r="S9" s="19">
        <v>0</v>
      </c>
      <c r="T9" s="19">
        <v>0.2</v>
      </c>
      <c r="U9" s="43">
        <v>0.3</v>
      </c>
    </row>
    <row r="10" spans="1:21" x14ac:dyDescent="0.25">
      <c r="A10" s="19" t="s">
        <v>131</v>
      </c>
      <c r="B10" s="19">
        <v>262.3</v>
      </c>
      <c r="C10" s="19">
        <v>46.1</v>
      </c>
      <c r="D10" s="19">
        <v>258.8</v>
      </c>
      <c r="E10" s="19">
        <v>308.39999999999998</v>
      </c>
      <c r="F10" s="19">
        <v>85</v>
      </c>
      <c r="J10" s="44">
        <v>0.8</v>
      </c>
      <c r="K10" s="19">
        <v>1.4</v>
      </c>
      <c r="L10" s="19">
        <v>7.7</v>
      </c>
      <c r="M10" s="43">
        <v>2.2000000000000002</v>
      </c>
      <c r="N10" s="44">
        <v>0.1</v>
      </c>
      <c r="O10" s="19">
        <v>0.2</v>
      </c>
      <c r="P10" s="19">
        <v>0.9</v>
      </c>
      <c r="Q10" s="43">
        <v>0.2</v>
      </c>
      <c r="R10" s="44">
        <v>0.9</v>
      </c>
      <c r="S10" s="19">
        <v>1.5</v>
      </c>
      <c r="T10" s="19">
        <v>8.6</v>
      </c>
      <c r="U10" s="43">
        <v>2.4</v>
      </c>
    </row>
    <row r="11" spans="1:21" x14ac:dyDescent="0.25">
      <c r="A11" s="19" t="s">
        <v>130</v>
      </c>
      <c r="B11" s="19">
        <v>7.3</v>
      </c>
      <c r="C11" s="19">
        <v>2.8</v>
      </c>
      <c r="D11" s="19">
        <v>15.9</v>
      </c>
      <c r="E11" s="19">
        <v>10.1</v>
      </c>
      <c r="F11" s="19">
        <v>72</v>
      </c>
      <c r="J11" s="44">
        <v>0.3</v>
      </c>
      <c r="K11" s="19">
        <v>0.2</v>
      </c>
      <c r="L11" s="19">
        <v>1.4</v>
      </c>
      <c r="M11" s="43">
        <v>0.5</v>
      </c>
      <c r="N11" s="44">
        <v>0</v>
      </c>
      <c r="O11" s="19">
        <v>0</v>
      </c>
      <c r="P11" s="19">
        <v>0</v>
      </c>
      <c r="Q11" s="43">
        <v>0</v>
      </c>
      <c r="R11" s="44">
        <v>0.3</v>
      </c>
      <c r="S11" s="19">
        <v>0.2</v>
      </c>
      <c r="T11" s="19">
        <v>1.4</v>
      </c>
      <c r="U11" s="43">
        <v>0.5</v>
      </c>
    </row>
    <row r="12" spans="1:21" x14ac:dyDescent="0.25">
      <c r="J12" s="44">
        <v>0.5</v>
      </c>
      <c r="K12" s="19">
        <v>0.3</v>
      </c>
      <c r="L12" s="19">
        <v>1.7</v>
      </c>
      <c r="M12" s="43">
        <v>0.8</v>
      </c>
      <c r="N12" s="44">
        <v>0</v>
      </c>
      <c r="O12" s="19">
        <v>0</v>
      </c>
      <c r="P12" s="19">
        <v>0.1</v>
      </c>
      <c r="Q12" s="43">
        <v>0</v>
      </c>
      <c r="R12" s="44">
        <v>0.5</v>
      </c>
      <c r="S12" s="19">
        <v>0.3</v>
      </c>
      <c r="T12" s="19">
        <v>1.8</v>
      </c>
      <c r="U12" s="43">
        <v>0.8</v>
      </c>
    </row>
    <row r="13" spans="1:21" x14ac:dyDescent="0.25">
      <c r="J13" s="44">
        <v>0</v>
      </c>
      <c r="K13" s="19">
        <v>0.1</v>
      </c>
      <c r="L13" s="19">
        <v>0.6</v>
      </c>
      <c r="M13" s="43">
        <v>0.1</v>
      </c>
      <c r="N13" s="44">
        <v>0</v>
      </c>
      <c r="O13" s="19">
        <v>0</v>
      </c>
      <c r="P13" s="19">
        <v>0</v>
      </c>
      <c r="Q13" s="43">
        <v>0</v>
      </c>
      <c r="R13" s="44">
        <v>0</v>
      </c>
      <c r="S13" s="19">
        <v>0.1</v>
      </c>
      <c r="T13" s="19">
        <v>0.6</v>
      </c>
      <c r="U13" s="43">
        <v>0.1</v>
      </c>
    </row>
    <row r="14" spans="1:21" x14ac:dyDescent="0.25">
      <c r="J14" s="44">
        <v>0.8</v>
      </c>
      <c r="K14" s="19">
        <v>0.2</v>
      </c>
      <c r="L14" s="19">
        <v>0.8</v>
      </c>
      <c r="M14" s="43">
        <v>0.9</v>
      </c>
      <c r="N14" s="44">
        <v>0</v>
      </c>
      <c r="O14" s="19">
        <v>0</v>
      </c>
      <c r="P14" s="19">
        <v>0.1</v>
      </c>
      <c r="Q14" s="43">
        <v>0</v>
      </c>
      <c r="R14" s="44">
        <v>0.8</v>
      </c>
      <c r="S14" s="19">
        <v>0.2</v>
      </c>
      <c r="T14" s="19">
        <v>0.9</v>
      </c>
      <c r="U14" s="43">
        <v>1</v>
      </c>
    </row>
    <row r="15" spans="1:21" x14ac:dyDescent="0.25">
      <c r="J15" s="44">
        <v>0.1</v>
      </c>
      <c r="K15" s="19">
        <v>0.5</v>
      </c>
      <c r="L15" s="19">
        <v>3</v>
      </c>
      <c r="M15" s="43">
        <v>0.6</v>
      </c>
      <c r="N15" s="44">
        <v>0</v>
      </c>
      <c r="O15" s="19">
        <v>0</v>
      </c>
      <c r="P15" s="19">
        <v>0</v>
      </c>
      <c r="Q15" s="43">
        <v>0</v>
      </c>
      <c r="R15" s="44">
        <v>0.1</v>
      </c>
      <c r="S15" s="19">
        <v>0.5</v>
      </c>
      <c r="T15" s="19">
        <v>3</v>
      </c>
      <c r="U15" s="43">
        <v>0.6</v>
      </c>
    </row>
    <row r="16" spans="1:21" x14ac:dyDescent="0.25">
      <c r="J16" s="44">
        <v>5.8</v>
      </c>
      <c r="K16" s="19">
        <v>0.7</v>
      </c>
      <c r="L16" s="19">
        <v>3.7</v>
      </c>
      <c r="M16" s="43">
        <v>6.4</v>
      </c>
      <c r="N16" s="44">
        <v>28</v>
      </c>
      <c r="O16" s="19">
        <v>4.9000000000000004</v>
      </c>
      <c r="P16" s="19">
        <v>27.7</v>
      </c>
      <c r="Q16" s="43">
        <v>32.9</v>
      </c>
      <c r="R16" s="44">
        <v>33.700000000000003</v>
      </c>
      <c r="S16" s="19">
        <v>5.6</v>
      </c>
      <c r="T16" s="19">
        <v>31.4</v>
      </c>
      <c r="U16" s="43">
        <v>39.299999999999997</v>
      </c>
    </row>
    <row r="17" spans="1:21" x14ac:dyDescent="0.25">
      <c r="A17" s="55"/>
      <c r="B17" s="393" t="s">
        <v>136</v>
      </c>
      <c r="C17" s="394" t="s">
        <v>136</v>
      </c>
      <c r="D17" s="393" t="s">
        <v>135</v>
      </c>
      <c r="E17" s="394" t="s">
        <v>135</v>
      </c>
      <c r="F17" s="55" t="s">
        <v>134</v>
      </c>
      <c r="G17" s="54" t="s">
        <v>134</v>
      </c>
      <c r="J17" s="44">
        <v>1.1000000000000001</v>
      </c>
      <c r="K17" s="19">
        <v>0.2</v>
      </c>
      <c r="L17" s="19">
        <v>0.9</v>
      </c>
      <c r="M17" s="43">
        <v>1.3</v>
      </c>
      <c r="N17" s="44">
        <v>0</v>
      </c>
      <c r="O17" s="19">
        <v>0</v>
      </c>
      <c r="P17" s="19">
        <v>0</v>
      </c>
      <c r="Q17" s="43">
        <v>0</v>
      </c>
      <c r="R17" s="44">
        <v>1.1000000000000001</v>
      </c>
      <c r="S17" s="19">
        <v>0.2</v>
      </c>
      <c r="T17" s="19">
        <v>0.9</v>
      </c>
      <c r="U17" s="43">
        <v>1.3</v>
      </c>
    </row>
    <row r="18" spans="1:21" x14ac:dyDescent="0.25">
      <c r="A18" s="52"/>
      <c r="B18" s="52" t="s">
        <v>133</v>
      </c>
      <c r="C18" s="53" t="s">
        <v>132</v>
      </c>
      <c r="D18" s="52" t="s">
        <v>133</v>
      </c>
      <c r="E18" s="53" t="s">
        <v>132</v>
      </c>
      <c r="F18" s="52" t="s">
        <v>133</v>
      </c>
      <c r="G18" s="53" t="s">
        <v>132</v>
      </c>
      <c r="J18" s="44" t="s">
        <v>81</v>
      </c>
      <c r="K18" s="19" t="s">
        <v>81</v>
      </c>
      <c r="L18" s="19" t="s">
        <v>81</v>
      </c>
      <c r="M18" s="43" t="s">
        <v>81</v>
      </c>
      <c r="N18" s="44" t="s">
        <v>81</v>
      </c>
      <c r="O18" s="19" t="s">
        <v>81</v>
      </c>
      <c r="P18" s="19" t="s">
        <v>81</v>
      </c>
      <c r="Q18" s="43" t="s">
        <v>81</v>
      </c>
      <c r="R18" s="44" t="s">
        <v>81</v>
      </c>
      <c r="S18" s="19" t="s">
        <v>81</v>
      </c>
      <c r="T18" s="19" t="s">
        <v>81</v>
      </c>
      <c r="U18" s="43" t="s">
        <v>81</v>
      </c>
    </row>
    <row r="19" spans="1:21" x14ac:dyDescent="0.25">
      <c r="A19" s="52" t="s">
        <v>131</v>
      </c>
      <c r="B19" s="52">
        <v>228</v>
      </c>
      <c r="C19" s="53">
        <v>218</v>
      </c>
      <c r="D19" s="52">
        <v>31</v>
      </c>
      <c r="E19" s="53">
        <v>31</v>
      </c>
      <c r="F19" s="52">
        <v>259</v>
      </c>
      <c r="G19" s="53">
        <v>249</v>
      </c>
      <c r="J19" s="49">
        <v>71</v>
      </c>
      <c r="K19" s="22">
        <v>15.2</v>
      </c>
      <c r="L19" s="22">
        <v>85.5</v>
      </c>
      <c r="M19" s="48">
        <v>86.2</v>
      </c>
      <c r="N19" s="49">
        <v>191.3</v>
      </c>
      <c r="O19" s="22">
        <v>30.9</v>
      </c>
      <c r="P19" s="22">
        <v>173.3</v>
      </c>
      <c r="Q19" s="48">
        <v>222.2</v>
      </c>
      <c r="R19" s="49">
        <v>262.3</v>
      </c>
      <c r="S19" s="22">
        <v>46.1</v>
      </c>
      <c r="T19" s="22">
        <v>258.8</v>
      </c>
      <c r="U19" s="48">
        <v>308.39999999999998</v>
      </c>
    </row>
    <row r="20" spans="1:21" x14ac:dyDescent="0.25">
      <c r="A20" s="52" t="s">
        <v>130</v>
      </c>
      <c r="B20" s="51">
        <v>9</v>
      </c>
      <c r="C20" s="50">
        <v>9</v>
      </c>
      <c r="D20" s="51">
        <v>0</v>
      </c>
      <c r="E20" s="50">
        <v>0</v>
      </c>
      <c r="F20" s="51">
        <v>9</v>
      </c>
      <c r="G20" s="50">
        <v>9</v>
      </c>
      <c r="J20" s="44"/>
      <c r="M20" s="43"/>
      <c r="N20" s="44"/>
      <c r="Q20" s="43"/>
      <c r="R20" s="44"/>
      <c r="U20" s="43"/>
    </row>
    <row r="21" spans="1:21" x14ac:dyDescent="0.25">
      <c r="A21" s="44"/>
      <c r="G21" s="43"/>
      <c r="J21" s="49"/>
      <c r="K21" s="22"/>
      <c r="L21" s="22"/>
      <c r="M21" s="48"/>
      <c r="N21" s="49"/>
      <c r="O21" s="22"/>
      <c r="P21" s="22"/>
      <c r="Q21" s="48"/>
      <c r="R21" s="49"/>
      <c r="S21" s="22"/>
      <c r="T21" s="22"/>
      <c r="U21" s="48"/>
    </row>
    <row r="22" spans="1:21" x14ac:dyDescent="0.25">
      <c r="A22" s="47"/>
      <c r="B22" s="46" t="s">
        <v>129</v>
      </c>
      <c r="C22" s="46"/>
      <c r="D22" s="46"/>
      <c r="E22" s="46"/>
      <c r="F22" s="46"/>
      <c r="G22" s="45"/>
      <c r="J22" s="44">
        <v>1.8</v>
      </c>
      <c r="K22" s="19">
        <v>0.8</v>
      </c>
      <c r="L22" s="19">
        <v>4.4000000000000004</v>
      </c>
      <c r="M22" s="43">
        <v>2.6</v>
      </c>
      <c r="N22" s="44">
        <v>5.5</v>
      </c>
      <c r="O22" s="19">
        <v>2</v>
      </c>
      <c r="P22" s="19">
        <v>11.4</v>
      </c>
      <c r="Q22" s="43">
        <v>7.5</v>
      </c>
      <c r="R22" s="44">
        <v>7.3</v>
      </c>
      <c r="S22" s="19">
        <v>2.8</v>
      </c>
      <c r="T22" s="19">
        <v>15.8</v>
      </c>
      <c r="U22" s="43">
        <v>10.1</v>
      </c>
    </row>
    <row r="23" spans="1:21" x14ac:dyDescent="0.25">
      <c r="J23" s="44">
        <v>1.8</v>
      </c>
      <c r="K23" s="19">
        <v>0.8</v>
      </c>
      <c r="L23" s="19">
        <v>4.4000000000000004</v>
      </c>
      <c r="M23" s="43">
        <v>2.6</v>
      </c>
      <c r="N23" s="44">
        <v>5.5</v>
      </c>
      <c r="O23" s="19">
        <v>2</v>
      </c>
      <c r="P23" s="19">
        <v>11.4</v>
      </c>
      <c r="Q23" s="43">
        <v>7.5</v>
      </c>
      <c r="R23" s="44">
        <v>7.3</v>
      </c>
      <c r="S23" s="19">
        <v>2.8</v>
      </c>
      <c r="T23" s="19">
        <v>15.8</v>
      </c>
      <c r="U23" s="43">
        <v>10.1</v>
      </c>
    </row>
    <row r="24" spans="1:21" x14ac:dyDescent="0.25">
      <c r="D24" s="19">
        <v>2024</v>
      </c>
      <c r="E24" s="19" t="s">
        <v>128</v>
      </c>
      <c r="F24" s="19">
        <f>F19+F20+17</f>
        <v>285</v>
      </c>
      <c r="G24" s="19">
        <f>G19+G20+17</f>
        <v>275</v>
      </c>
      <c r="J24" s="44"/>
      <c r="M24" s="43"/>
      <c r="N24" s="44"/>
      <c r="Q24" s="43"/>
      <c r="R24" s="44"/>
      <c r="U24" s="43"/>
    </row>
    <row r="25" spans="1:21" x14ac:dyDescent="0.25">
      <c r="J25" s="42">
        <v>72.7</v>
      </c>
      <c r="K25" s="41">
        <v>16</v>
      </c>
      <c r="L25" s="41">
        <v>90</v>
      </c>
      <c r="M25" s="40">
        <v>88.7</v>
      </c>
      <c r="N25" s="42">
        <v>196.8</v>
      </c>
      <c r="O25" s="41">
        <v>32.9</v>
      </c>
      <c r="P25" s="41">
        <v>184.7</v>
      </c>
      <c r="Q25" s="40">
        <v>229.7</v>
      </c>
      <c r="R25" s="42">
        <v>269.60000000000002</v>
      </c>
      <c r="S25" s="41">
        <v>48.9</v>
      </c>
      <c r="T25" s="41">
        <v>274.60000000000002</v>
      </c>
      <c r="U25" s="40">
        <v>318.5</v>
      </c>
    </row>
    <row r="26" spans="1:21" x14ac:dyDescent="0.25">
      <c r="A26" s="39"/>
      <c r="B26" s="39"/>
      <c r="C26" s="39"/>
    </row>
    <row r="27" spans="1:21" x14ac:dyDescent="0.25">
      <c r="A27" s="37"/>
      <c r="B27" s="37"/>
      <c r="C27" s="37"/>
    </row>
    <row r="28" spans="1:21" x14ac:dyDescent="0.25">
      <c r="A28" s="37"/>
      <c r="B28" s="37"/>
      <c r="C28" s="37"/>
      <c r="F28" s="38"/>
    </row>
    <row r="29" spans="1:21" x14ac:dyDescent="0.25">
      <c r="A29" s="37"/>
      <c r="B29" s="37"/>
      <c r="C29" s="37"/>
      <c r="F29" s="38"/>
    </row>
  </sheetData>
  <mergeCells count="8">
    <mergeCell ref="D17:E17"/>
    <mergeCell ref="B17:C17"/>
    <mergeCell ref="J2:M2"/>
    <mergeCell ref="N2:Q2"/>
    <mergeCell ref="R2:U2"/>
    <mergeCell ref="K3:L3"/>
    <mergeCell ref="O3:P3"/>
    <mergeCell ref="S3:T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FF00-F862-4485-B982-643E0AC5F998}">
  <dimension ref="A2:F25"/>
  <sheetViews>
    <sheetView workbookViewId="0">
      <selection activeCell="A32" sqref="A32"/>
    </sheetView>
  </sheetViews>
  <sheetFormatPr defaultRowHeight="15" x14ac:dyDescent="0.25"/>
  <cols>
    <col min="1" max="1" width="30" style="19" customWidth="1"/>
    <col min="2" max="2" width="14.28515625" style="19" bestFit="1" customWidth="1"/>
    <col min="3" max="6" width="13.28515625" style="19" bestFit="1" customWidth="1"/>
    <col min="7" max="7" width="10" style="19" customWidth="1"/>
    <col min="8" max="16384" width="9.140625" style="19"/>
  </cols>
  <sheetData>
    <row r="2" spans="1:6" x14ac:dyDescent="0.25">
      <c r="B2" s="19">
        <v>2023</v>
      </c>
      <c r="C2" s="19">
        <v>2022</v>
      </c>
      <c r="D2" s="19">
        <v>2021</v>
      </c>
      <c r="E2" s="19">
        <v>2020</v>
      </c>
      <c r="F2" s="19">
        <v>2019</v>
      </c>
    </row>
    <row r="3" spans="1:6" x14ac:dyDescent="0.25">
      <c r="A3" s="19" t="s">
        <v>127</v>
      </c>
      <c r="B3" s="20">
        <v>-1.6</v>
      </c>
      <c r="C3" s="19">
        <v>5.2</v>
      </c>
      <c r="D3" s="19">
        <v>10.3</v>
      </c>
      <c r="E3" s="20">
        <v>-9.9</v>
      </c>
      <c r="F3" s="20">
        <v>-2.2000000000000002</v>
      </c>
    </row>
    <row r="4" spans="1:6" ht="30" x14ac:dyDescent="0.25">
      <c r="A4" s="21" t="s">
        <v>126</v>
      </c>
      <c r="B4" s="20">
        <v>189780357</v>
      </c>
      <c r="C4" s="20">
        <v>82650240</v>
      </c>
      <c r="D4" s="20">
        <v>46687236</v>
      </c>
      <c r="E4" s="20">
        <v>27021238</v>
      </c>
      <c r="F4" s="20">
        <v>21650351</v>
      </c>
    </row>
    <row r="5" spans="1:6" ht="30" x14ac:dyDescent="0.25">
      <c r="A5" s="21" t="s">
        <v>125</v>
      </c>
      <c r="B5" s="19">
        <v>211.4</v>
      </c>
      <c r="C5" s="19">
        <v>94.8</v>
      </c>
      <c r="D5" s="19">
        <v>50.9</v>
      </c>
      <c r="E5" s="19">
        <v>36.1</v>
      </c>
      <c r="F5" s="19">
        <v>53.8</v>
      </c>
    </row>
    <row r="6" spans="1:6" ht="30" x14ac:dyDescent="0.25">
      <c r="A6" s="21" t="s">
        <v>124</v>
      </c>
      <c r="B6" s="19">
        <v>808.5</v>
      </c>
      <c r="C6" s="19">
        <v>177.1</v>
      </c>
      <c r="D6" s="19">
        <v>102.8</v>
      </c>
      <c r="E6" s="19">
        <v>84.1</v>
      </c>
      <c r="F6" s="19">
        <v>59.9</v>
      </c>
    </row>
    <row r="12" spans="1:6" x14ac:dyDescent="0.25">
      <c r="A12" s="37"/>
      <c r="B12" s="37" t="s">
        <v>123</v>
      </c>
      <c r="C12" s="37" t="s">
        <v>122</v>
      </c>
      <c r="D12" s="37"/>
    </row>
    <row r="13" spans="1:6" x14ac:dyDescent="0.25">
      <c r="A13" s="37" t="s">
        <v>121</v>
      </c>
      <c r="B13" s="37">
        <v>49.5</v>
      </c>
      <c r="C13" s="37">
        <v>59.9</v>
      </c>
      <c r="D13" s="37"/>
    </row>
    <row r="14" spans="1:6" x14ac:dyDescent="0.25">
      <c r="A14" s="37" t="s">
        <v>120</v>
      </c>
      <c r="B14" s="37">
        <v>70.599999999999994</v>
      </c>
      <c r="C14" s="37">
        <v>84.1</v>
      </c>
      <c r="D14" s="37"/>
    </row>
    <row r="15" spans="1:6" x14ac:dyDescent="0.25">
      <c r="A15" s="37" t="s">
        <v>119</v>
      </c>
      <c r="B15" s="37">
        <v>95.2</v>
      </c>
      <c r="C15" s="37">
        <v>102.8</v>
      </c>
      <c r="D15" s="37"/>
    </row>
    <row r="16" spans="1:6" x14ac:dyDescent="0.25">
      <c r="A16" s="37" t="s">
        <v>118</v>
      </c>
      <c r="B16" s="37">
        <v>130.6</v>
      </c>
      <c r="C16" s="37">
        <v>177.1</v>
      </c>
      <c r="D16" s="37"/>
    </row>
    <row r="17" spans="1:4" x14ac:dyDescent="0.25">
      <c r="A17" s="37" t="s">
        <v>117</v>
      </c>
      <c r="B17" s="37">
        <v>295.2</v>
      </c>
      <c r="C17" s="37">
        <v>808.5</v>
      </c>
      <c r="D17" s="37"/>
    </row>
    <row r="18" spans="1:4" x14ac:dyDescent="0.25">
      <c r="D18" s="37"/>
    </row>
    <row r="19" spans="1:4" x14ac:dyDescent="0.25">
      <c r="A19" s="37" t="s">
        <v>116</v>
      </c>
      <c r="B19" s="37">
        <v>350</v>
      </c>
      <c r="C19" s="37">
        <v>350</v>
      </c>
      <c r="D19" s="37"/>
    </row>
    <row r="20" spans="1:4" x14ac:dyDescent="0.25">
      <c r="A20" s="37" t="s">
        <v>115</v>
      </c>
      <c r="B20" s="37">
        <v>350</v>
      </c>
      <c r="C20" s="37">
        <v>350</v>
      </c>
      <c r="D20" s="37"/>
    </row>
    <row r="21" spans="1:4" x14ac:dyDescent="0.25">
      <c r="A21" s="37" t="s">
        <v>114</v>
      </c>
      <c r="B21" s="37">
        <v>353.8</v>
      </c>
      <c r="C21" s="37">
        <v>360.5</v>
      </c>
      <c r="D21" s="37"/>
    </row>
    <row r="22" spans="1:4" x14ac:dyDescent="0.25">
      <c r="A22" s="37" t="s">
        <v>113</v>
      </c>
      <c r="B22" s="37">
        <v>642</v>
      </c>
      <c r="C22" s="37">
        <v>808.5</v>
      </c>
      <c r="D22" s="37"/>
    </row>
    <row r="23" spans="1:4" x14ac:dyDescent="0.25">
      <c r="A23" s="37" t="s">
        <v>112</v>
      </c>
      <c r="B23" s="37">
        <v>818.3</v>
      </c>
      <c r="C23" s="37">
        <v>826.3</v>
      </c>
      <c r="D23" s="37"/>
    </row>
    <row r="24" spans="1:4" x14ac:dyDescent="0.25">
      <c r="A24" s="37" t="s">
        <v>111</v>
      </c>
      <c r="B24" s="37">
        <v>834.9</v>
      </c>
      <c r="C24" s="37">
        <v>842.3</v>
      </c>
      <c r="D24" s="37"/>
    </row>
    <row r="25" spans="1:4" x14ac:dyDescent="0.25">
      <c r="A25" s="37" t="s">
        <v>110</v>
      </c>
      <c r="B25" s="37">
        <v>850.3</v>
      </c>
      <c r="C25" s="37">
        <v>857.4</v>
      </c>
      <c r="D25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575774"><![CDATA[{"PAMP-AR^FE_VALUATION(PE,MEAN,ANN,+2,NOW,,,'')":6.4064093,"PAMP-AR^FE_VALUATION(PE,MEAN,ANN,+1,NOW,,,'')":4.8769274,"PAMP-AR^FE_VALUATION(FFEV_EBITDA,MEAN,ANN,+2,NOW,,,'')":3.700376,"PAMP-AR^FE_VALUATION(FFEV_EBITDA,MEAN,ANN,+1,NOW,,,'')":4.60161,"PAMP-AR^FE_VALUATION(FFEV_SALES,MEAN,ANN,+2,NOW,,,'')":1.7420076,"PAMP-AR^FE_VALUATION(FFEV_SALES,MEAN,ANN,+1,NOW,,,'')":2.1213887,"ECOPETROL-CO^FE_VALUATION(PE,MEAN,ANN,+2,NOW,,,'')":5.3464336,"ECOPETROL-CO^FE_VALUATION(PE,MEAN,ANN,+1,NOW,,,'')":5.176937,"ECOPETROL-CO^FE_VALUATION(FFEV_EBITDA,MEAN,ANN,+2,NOW,,,'')":3.5563812,"ECOPETROL-CO^FE_VALUATION(FFEV_EBITDA,MEAN,ANN,+1,NOW,,,'')":3.4523227,"ECOPETROL-CO^FE_VALUATION(FFEV_SALES,MEAN,ANN,+2,NOW,,,'')":1.4820309,"ECOPETROL-CO^FE_VALUATION(FFEV_SALES,MEAN,ANN,+1,NOW,,,'')":1.4662002,"PETR4-BR^FE_VALUATION(PE,MEAN,ANN,+2,NOW,,,'')":3.9579751,"PETR4-BR^FE_VALUATION(PE,MEAN,ANN,+1,NOW,,,'')":4.010499,"PETR4-BR^FE_VALUATION(FFEV_EBITDA,MEAN,ANN,+2,NOW,,,'')":2.6248813,"PETR4-BR^FE_VALUATION(FFEV_EBITDA,MEAN,ANN,+1,NOW,,,'')":2.5735593,"PETR4-BR^FE_VALUATION(FFEV_SALES,MEAN,ANN,+2,NOW,,,'')":1.3832792,"PETR4-BR^FE_VALUATION(FFEV_SALES,MEAN,ANN,+1,NOW,,,'')":1.3526425,"YPFD-AR^FE_VALUATION(PE,MEAN,ANN,+2,NOW,,,'')":6.045691,"YPFD-AR^FE_VALUATION(PE,MEAN,ANN,+1,NOW,,,'')":6.2385845,"YPFD-AR^FE_VALUATION(FFEV_EBITDA,MEAN,ANN,+2,NOW,,,'')":3.0590992,"YPFD-AR^FE_VALUATION(FFEV_EBITDA,MEAN,ANN,+1,NOW,,,'')":3.40599,"YPFD-AR^FE_VALUATION(FFEV_SALES,MEAN,ANN,+2,NOW,,,'')":1.0136117,"YPFD-AR^FE_VALUATION(FFEV_SALES,MEAN,ANN,+1,NOW,,,'')":1.0323416,"GPRK-US^FE_VALUATION(PE,MEAN,ANN,+2,NOW,,,'')":2.9346583,"GPRK-US^FE_VALUATION(PE,MEAN,ANN,+1,NOW,,,'')":3.040426,"GPRK-US^FE_VALUATION(FFEV_EBITDA,MEAN,ANN,+2,NOW,,,'')":1.7578541,"GPRK-US^FE_VALUATION(FFEV_EBITDA,MEAN,ANN,+1,NOW,,,'')":1.8665951,"GPRK-US^FE_VALUATION(FFEV_SALES,MEAN,ANN,+2,NOW,,,'')":1.0255797,"GPRK-US^FE_VALUATION(FFEV_SALES,MEAN,ANN,+1,NOW,,,'')":1.1866474,"RECV3-BR^FE_VALUATION(PE,MEAN,ANN,+2,NOW,,,'')":3.9630952,"RECV3-BR^FE_VALUATION(PE,MEAN,ANN,+1,NOW,,,'')":5.5006313,"RECV3-BR^FE_VALUATION(FFEV_EBITDA,MEAN,ANN,+2,NOW,,,'')":2.429562,"RECV3-BR^FE_VALUATION(FFEV_EBITDA,MEAN,ANN,+1,NOW,,,'')":3.0157812,"RECV3-BR^FE_VALUATION(FFEV_SALES,MEAN,ANN,+2,NOW,,,'')":1.455613,"RECV3-BR^FE_VALUATION(FFEV_SALES,MEAN,ANN,+1,NOW,,,'')":1.7156893,"PRIO3-BR^FE_VALUATION(PE,MEAN,ANN,+2,NOW,,,'')":4.8199916,"PRIO3-BR^FE_VALUATION(PE,MEAN,ANN,+1,NOW,,,'')":6.7155066,"PRIO3-BR^FE_VALUATION(FFEV_EBITDA,MEAN,ANN,+2,NOW,,,'')":3.225073,"PRIO3-BR^FE_VALUATION(FFEV_EBITDA,MEAN,ANN,+1,NOW,,,'')":4.1824613,"PRIO3-BR^FE_VALUATION(FFEV_SALES,MEAN,ANN,+2,NOW,,,'')":2.5121331,"PRIO3-BR^FE_VALUATION(FFEV_SALES,MEAN,ANN,+1,NOW,,,'')":3.1872733,"HES-US^FE_VALUATION(PE,MEAN,ANN,+2,NOW,,,'')":12.157351,"HES-US^FE_VALUATION(PE,MEAN,ANN,+1,NOW,,,'')":13.120293,"HES-US^FE_VALUATION(FFEV_EBITDA,MEAN,ANN,+2,NOW,,,'')":6.499011,"HES-US^FE_VALUATION(FFEV_EBITDA,MEAN,ANN,+1,NOW,,,'')":6.885741,"HES-US^FE_VALUATION(FFEV_SALES,MEAN,ANN,+2,NOW,,,'')":3.7863228,"HES-US^FE_VALUATION(FFEV_SALES,MEAN,ANN,+1,NOW,,,'')":3.9478755,"EOG-US^FE_VALUATION(PE,MEAN,ANN,+2,NOW,,,'')":10.297328,"EOG-US^FE_VALUATION(PE,MEAN,ANN,+1,NOW,,,'')":10.526679,"EOG-US^FE_VALUATION(FFEV_EBITDA,MEAN,ANN,+2,NOW,,,'')":5.2076397,"EOG-US^FE_VALUATION(FFEV_EBITDA,MEAN,ANN,+1,NOW,,,'')":5.2861104,"EOG-US^FE_VALUATION(FFEV_SALES,MEAN,ANN,+2,NOW,,,'')":2.7722433,"EOG-US^FE_VALUATION(FFEV_SALES,MEAN,ANN,+1,NOW,,,'')":2.8622017,"FANG-US^FE_VALUATION(PE,MEAN,ANN,+2,NOW,,,'')":9.675171,"FANG-US^FE_VALUATION(PE,MEAN,ANN,+1,NOW,,,'')":10.549903,"FANG-US^FE_VALUATION(FFEV_EBITDA,MEAN,ANN,+2,NOW,,,'')":3.7203505,"FANG-US^FE_VALUATION(FFEV_EBITDA,MEAN,ANN,+1,NOW,,,'')":6.132761,"FANG-US^FE_VALUATION(FFEV_SALES,MEAN,ANN,+2,NOW,,,'')":2.851085,"FANG-US^FE_VALUATION(FFEV_SALES,MEAN,ANN,+1,NOW,,,'')":4.52862,"VIST-US^FE_VALUATION(PE,MEAN,ANN,+2,NOW,,,'')":5.9780717,"VIST-US^FE_VALUATION(PE,MEAN,ANN,+1,NOW,,,'')":7.9252524,"VIST-US^FE_VALUATION(FFEV_EBITDA,MEAN,ANN,+2,NOW,,,'')":3.098985,"VIST-US^FE_VALUATION(FFEV_EBITDA,MEAN,ANN,+1,NOW,,,'')":4.097306,"VIST-US^FE_VALUATION(FFEV_SALES,MEAN,ANN,+2,NOW,,,'')":2.2471087,"VIST-US^FE_VALUATION(FFEV_SALES,MEAN,ANN,+1,NOW,,,'')":2.9430027,"VIST-US^FREF_SHARES_COMPANY(0,,,,0,\"LEGACY\")":95.1644001933594,"VIST-US^FF_DEBT(QTR_R,0)":959.636,"VIST-US^FF_CASH_ST(QTR_R,0)":328.241,"PAMP-AR^FF_NET_INC(ANN_R,0Y,,,,USD)":117.135132137686,"PAMP-AR^FF_NET_INC(ANN_R,-1AY,,,,USD)":496.000528450124,"PAMP-AR^FF_EBITDA_OPER(ANN_R,0Y,,,,USD)":1041.371,"PAMP-AR^FF_EBITDA_OPER(ANN_R,-1AY,,,,USD)":766.44963,"PAMP-AR^FF_SALES(ANN_R,0Y,,,,USD)":1744.82370759966,"PAMP-AR^FF_SALES(ANN_R,-1AY,,,,USD)":1852.05445629917,"PAMP-AR^FF_SALES(ANN_R,-2AY,,,,USD)":1519.13150353916,"ECOPETROL-CO^FF_NET_INC(ANN_R,0Y,,,,USD)":4407.21784600883,"ECOPETROL-CO^FF_NET_INC(ANN_R,-1AY,,,,USD)":7841.42185063795,"ECOPETROL-CO^FF_EBITDA_OPER(ANN_R,0Y,,,,USD)":8611.63967,"ECOPETROL-CO^FF_EBITDA_OPER(ANN_R,-1AY,,,,USD)":8832.83479,"ECOPETROL-CO^FF_SALES(ANN_R,0Y,,,,USD)":28466.4756003966,"ECOPETROL-CO^FF_SALES(ANN_R,-1AY,,,,USD)":29260.5018042626,"ECOPETROL-CO^FF_SALES(ANN_R,-2AY,,,,USD)":21579.9411376581,"PETR4-BR^FF_NET_INC(ANN_R,0Y,,,,USD)":24946.7440125346,"PETR4-BR^FF_NET_INC(ANN_R,-1AY,,,,USD)":36465.7644799948,"PETR4-BR^FF_EBITDA_OPER(ANN_R,0Y,,,,USD)":52730.79325,"PETR4-BR^FF_EBITDA_OPER(ANN_R,-1AY,,,,USD)":65612.73959,"PETR4-BR^FF_SALES(ANN_R,0Y,,,,USD)":102503.757876456,"PETR4-BR^FF_SALES(ANN_R,-1AY,,,,USD)":124165.765406013,"PETR4-BR^FF_SALES(ANN_R,-2AY,,,,USD)":83886.7496225238,"YPFD-AR^FF_NET_INC(ANN_R,0Y,,,,USD)":-5302.52144486783,"YPFD-AR^FF_NET_INC(ANN_R,-1AY,,,,USD)":2210.524749876,"YPFD-AR^FF_EBITDA_OPER(ANN_R,0Y,,,,USD)":6947.74226,"YPFD-AR^FF_EBITDA_OPER(ANN_R,-1AY,,,,USD)":5709.08011,"YPFD-AR^FF_SALES(ANN_R,0Y,,,,USD)":18296.0199164962,"YPFD-AR^FF_SALES(ANN_R,-1AY,,,,USD)":18997.6713915048,"YPFD-AR^FF_SALES(ANN_R,-2AY,,,,USD)":13055.6917971801,"GPRK-US^FF_NET_INC(ANN_R,0Y,,,,USD)":111.068,"GPRK-US^FF_NET_INC(ANN_R,-1AY,,,,USD)":224.435,"GPRK-US^FF_EBITDA_OPER(ANN_R,0Y,,,,USD)":456.055,"GPRK-US^FF_EBITDA_OPER(ANN_R,-1AY,,,,USD)":621.252,"GPRK-US^FF_SALES(ANN_R,0Y,,,,USD)":756.625,"GPRK-US^FF_SALES(ANN_R,-1AY,,,,USD)":1049.579,"GPRK-US^FF_SALES(ANN_R,-2AY,,,,USD)":688.543,"RECV3-BR^FF_NET_INC(ANN_R,0Y,,,,USD)":141.932931052744,"RECV3-BR^FF_NET_INC(ANN_R,-1AY,,,,USD)":223.32995921661,"RECV3-BR^FF_EBITDA_OPER(ANN_R,0Y,,,,USD)":256.6552,"RECV3-BR^FF_EBITDA_OPER(ANN_R,-1AY,,,,USD)":312.06394,"RECV3-BR^FF_SALES(ANN_R,0Y,,,,USD)":563.44913909331,"RECV3-BR^FF_SALES(ANN_R,-1AY,,,,USD)":576.228126889422,"RECV3-BR^FF_SALES(ANN_R,-2AY,,,,USD)":192.840861744583,"PRIO3-BR^FF_NET_INC(ANN_R,0Y,,,,USD)":1037.04287148491,"PRIO3-BR^FF_NET_INC(ANN_R,-1AY,,,,USD)":663.580563739777,"PRIO3-BR^FF_EBITDA_OPER(ANN_R,0Y,,,,USD)":1825.72644,"PRIO3-BR^FF_EBITDA_OPER(ANN_R,-1AY,,,,USD)":912.86127,"PRIO3-BR^FF_SALES(ANN_R,0Y,,,,USD)":2383.44871262804,"PRIO3-BR^FF_SALES(ANN_R,-1AY,,,,USD)":1232.15337403007,"PRIO3-BR^FF_SALES(ANN_R,-2AY,,,,USD)":814.650920765027,"HES-US^FF_NET_INC(ANN_R,0Y,,,,USD)":1382.0,"HES-US^FF_NET_INC(ANN_R,-1AY,,,,USD)":2096.0,"HES-US^FF_EBITDA_OPER(ANN_R,0Y,,,,USD)":5359.0,"HES-US^FF_EBITDA_OPER(ANN_R,-1AY,,,,USD)":6211.0,"HES-US^FF_SALES(ANN_R,0Y,,,,USD)":10701.0,"HES-US^FF_SALES(ANN_R,-1AY,,,,USD)":11909.0,"HES-US^FF_SALES(ANN_R,-2AY,,,,USD)":7716.0,"EOG-US^FF_NET_INC(ANN_R,0Y,,,,USD)":7594.0,"EOG-US^FF_NET_INC(ANN_R,-1AY,,,,USD)":7759.0,"EOG-US^FF_EBITDA_OPER(ANN_R,0Y,,,,USD)":12385.0,"EOG-US^FF_EBITDA_OPER(ANN_R,-1AY,,,,USD)":17843.0,"EOG-US^FF_SALES(ANN_R,0Y,,,,USD)":23273.0,"EOG-US^FF_SALES(ANN_R,-1AY,,,,USD)":29610.0,"EOG-US^FF_SALES(ANN_R,-2AY,,,,USD)":19777.0,"FANG-US^FF_NET_INC(ANN_R,0Y,,,,USD)":3121.0,"FANG-US^FF_NET_INC(ANN_R,-1AY,,,,USD)":4344.0,"FANG-US^FF_EBITDA_OPER(ANN_R,0Y,,,,USD)":6327.0,"FANG-US^FF_EBITDA_OPER(ANN_R,-1AY,,,,USD)":7866.0,"FANG-US^FF_SALES(ANN_R,0Y,,,,USD)":8412.0,"FANG-US^FF_SALES(ANN_R,-1AY,,,,USD)":9643.0,"FANG-US^FF_SALES(ANN_R,-2AY,,,,USD)":6797.0,"VIST-US^FF_NET_INC(ANN_R,0Y,,,,USD)":396.955,"VIST-US^FF_NET_INC(ANN_R,-1AY,,,,USD)":269.535,"VIST-US^FF_EBITDA_OPER(ANN_R,0Y,,,,USD)":729.451,"VIST-US^FF_EBITDA_OPER(ANN_R,-1AY,,,,USD)":739.975,"VIST-US^FF_SALES(ANN_R,0Y,,,,USD)":1168.774,"VIST-US^FF_SALES(ANN_R,-1AY,,,,USD)":1187.66,"VIST-US^FF_SALES(ANN_R,-2AY,,,,USD)":652.187,"VIST-US^FF_EPS(ANN_R,NOW,,,,USD)":4.2373,"PAMP-AR^FF_DEBT(QTR_R,0,,,,USD)":1581.48698469321,"PAMP-AR^FF_CASH_ST(QTR_R,0,,,,USD)":845.789818477584,"ECOPETROL-CO^FF_DEBT(QTR_R,0,,,,USD)":28126.2464329484,"ECOPETROL-CO^FF_CASH_ST(QTR_R,0,,,,USD)":4364.52906520572,"PETR4-BR^FF_DEBT(QTR_R,0,,,,USD)":61722.105229497,"PETR4-BR^FF_CASH_ST(QTR_R,0,,,,USD)":16333.9678777456,"YPFD-AR^FF_DEBT(QTR_R,0,,,,USD)":9435.43067499786,"YPFD-AR^FF_CASH_ST(QTR_R,0,,,,USD)":1597.78543189424,"GPRK-US^FF_DEBT(QTR_R,0,,,,USD)":525.781,"GPRK-US^FF_CASH_ST(QTR_R,0,,,,USD)":150.721,"RECV3-BR^FF_DEBT(QTR_R,0,,,,USD)":180.311934192896,"RECV3-BR^FF_CASH_ST(QTR_R,0,,,,USD)":137.21424022758,"PRIO3-BR^FF_DEBT(QTR_R,0,,,,USD)":2216.47674866366,"PRIO3-BR^FF_CASH_ST(QTR_R,0,,,,USD)":805.12091677165,"HES-US^FF_DEBT(QTR_R,0,,,,USD)":9884.0,"HES-US^FF_CASH_ST(QTR_R,0,,,,USD)":2025.0,"EOG-US^FF_DEBT(QTR_R,0,,,,USD)":4109.0,"EOG-US^FF_CASH_ST(QTR_R,0,,,,USD)":5292.0,"FANG-US^FF_DEBT(QTR_R,0,,,,USD)":6629.0,"FANG-US^FF_CASH_ST(QTR_R,0,,,,USD)":899.0,"VIST-US^FF_DEBT(QTR_R,0,,,,USD)":959.636,"VIST-US^FF_CASH_ST(QTR_R,0,,,,USD)":328.241,"PAMP-AR^FCS_SHARES(TOT,SHS,ANN,0,,,,USD,M)":1359.641441,"PAMP-AR^FG_PRICE(0,,,USD)":2.5254793,"PAMP-AR^FG_COMPANY_NAME":"Pampa Energia SA","ECOPETROL-CO^FCS_SHARES(TOT,SHS,ANN,0,,,,USD,M)":41116.69469,"ECOPETROL-CO^FG_PRICE(0,,,USD)":0.52342445,"ECOPETROL-CO^FG_COMPANY_NAME":"Ecopetrol SA","PETR4-BR^FCS_SHARES(TOT,SHS,ANN,0,,,,USD,M)":12940.137261,"PETR4-BR^FG_PRICE(0,,,USD)":6.504008,"PETR4-BR^FG_COMPANY_NAME":"Petroleo Brasileiro SA Pfd","YPFD-AR^FCS_SHARES(TOT,SHS,ANN,0,,,,USD,M)":395.152419,"YPFD-AR^FG_PRICE(0,,,USD)":27.238714,"YPFD-AR^FG_COMPANY_NAME":"YPF SA Class D","GPRK-US^FCS_SHARES(TOT,SHS,ANN,0,,,,USD,M)":56.903085,"GPRK-US^FG_PRICE(0,,,USD)":9.46,"GPRK-US^FG_COMPANY_NAME":"GeoPark Ltd","RECV3-BR^FCS_SHARES(TOT,SHS,ANN,0,,,,USD,M)":294.799138,"RECV3-BR^FG_PRICE(0,,,USD)":3.5839128,"RECV3-BR^FG_COMPANY_NAME":"Petroreconcavo SA","PRIO3-BR^FCS_SHARES(TOT,SHS,ANN,0,,,,USD,M)":838.358304,"PRIO3-BR^FG_PRICE(0,,,USD)":8.472512,"PRIO3-BR^FG_COMPANY_NAME":"Prio SA","HES-US^FCS_SHARES(TOT,SHS,ANN,0,,,,USD,M)":309.37536,"HES-US^FG_PRICE(0,,,USD)":141.23,"HES-US^FG_COMPANY_NAME":"Hess Corporation","EOG-US^FCS_SHARES(TOT,SHS,ANN,0,,,,USD,M)":587.215491,"EOG-US^FG_PRICE(0,,,USD)":123.11,"EOG-US^FG_COMPANY_NAME":"EOG Resources, Inc.","FANG-US^FCS_SHARES(TOT,SHS,ANN,0,,,,USD,M)":179.753123,"FANG-US^FG_PRICE(0,,,USD)":198.22,"FANG-US^FG_COMPANY_NAME":"Diamondback Energy, Inc.","VIST-US^FCS_SHARES(TOT,SHS,ANN,0,,,,USD,M)":115.022095,"VIST-US^FG_PRICE(0,,,USD)":42.88,"VIST-US^FG_COMPANY_NAME":"Vista Energy SAB de CV Sponsored ADR Class A"}]]></FdsFormulaCache>
</file>

<file path=customXml/itemProps1.xml><?xml version="1.0" encoding="utf-8"?>
<ds:datastoreItem xmlns:ds="http://schemas.openxmlformats.org/officeDocument/2006/customXml" ds:itemID="{158268E2-DE27-4C8F-AECC-5326CB6A7E7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Input</vt:lpstr>
      <vt:lpstr>MOD</vt:lpstr>
      <vt:lpstr>SUM</vt:lpstr>
      <vt:lpstr>VIST Comps &amp; market share</vt:lpstr>
      <vt:lpstr>Rev Breakdown</vt:lpstr>
      <vt:lpstr>Production Breakdown</vt:lpstr>
      <vt:lpstr>Net Proved data</vt:lpstr>
      <vt:lpstr>Argentine Econ &amp; 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Hongjia Cui</cp:lastModifiedBy>
  <dcterms:created xsi:type="dcterms:W3CDTF">2024-07-30T18:56:43Z</dcterms:created>
  <dcterms:modified xsi:type="dcterms:W3CDTF">2024-08-17T21:29:34Z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