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IFERROR(__xludf.DUMMYFUNCTION("IMPORTHTML(""https://en.wikipedia.org/wiki/List_of_Chicago_Bulls_seasons"", ""table"")"),"Season")</f>
        <v>Season</v>
      </c>
      <c r="B1" s="1" t="str">
        <f>IFERROR(__xludf.DUMMYFUNCTION("""COMPUTED_VALUE"""),"Team")</f>
        <v>Team</v>
      </c>
      <c r="C1" s="1" t="str">
        <f>IFERROR(__xludf.DUMMYFUNCTION("""COMPUTED_VALUE"""),"Conference")</f>
        <v>Conference</v>
      </c>
      <c r="D1" s="1" t="str">
        <f>IFERROR(__xludf.DUMMYFUNCTION("""COMPUTED_VALUE"""),"Finish")</f>
        <v>Finish</v>
      </c>
      <c r="E1" s="1" t="str">
        <f>IFERROR(__xludf.DUMMYFUNCTION("""COMPUTED_VALUE"""),"Division")</f>
        <v>Division</v>
      </c>
      <c r="F1" s="1" t="str">
        <f>IFERROR(__xludf.DUMMYFUNCTION("""COMPUTED_VALUE"""),"Finish")</f>
        <v>Finish</v>
      </c>
      <c r="G1" s="1" t="str">
        <f>IFERROR(__xludf.DUMMYFUNCTION("""COMPUTED_VALUE"""),"Wins")</f>
        <v>Wins</v>
      </c>
      <c r="H1" s="1" t="str">
        <f>IFERROR(__xludf.DUMMYFUNCTION("""COMPUTED_VALUE"""),"Losses")</f>
        <v>Losses</v>
      </c>
      <c r="I1" s="1" t="str">
        <f>IFERROR(__xludf.DUMMYFUNCTION("""COMPUTED_VALUE"""),"Win%")</f>
        <v>Win%</v>
      </c>
      <c r="J1" s="1" t="str">
        <f>IFERROR(__xludf.DUMMYFUNCTION("""COMPUTED_VALUE"""),"GB")</f>
        <v>GB</v>
      </c>
      <c r="K1" s="1" t="str">
        <f>IFERROR(__xludf.DUMMYFUNCTION("""COMPUTED_VALUE"""),"Playoffs")</f>
        <v>Playoffs</v>
      </c>
      <c r="L1" s="1" t="str">
        <f>IFERROR(__xludf.DUMMYFUNCTION("""COMPUTED_VALUE"""),"Awards")</f>
        <v>Awards</v>
      </c>
      <c r="M1" s="1" t="str">
        <f>IFERROR(__xludf.DUMMYFUNCTION("""COMPUTED_VALUE"""),"Head coach")</f>
        <v>Head coach</v>
      </c>
    </row>
    <row r="2">
      <c r="A2" s="1" t="str">
        <f>IFERROR(__xludf.DUMMYFUNCTION("""COMPUTED_VALUE"""),"*1966–67*")</f>
        <v>*1966–67*</v>
      </c>
      <c r="B2" s="1" t="str">
        <f>IFERROR(__xludf.DUMMYFUNCTION("""COMPUTED_VALUE"""),"1966–67")</f>
        <v>1966–67</v>
      </c>
      <c r="C2" s="1" t="str">
        <f>IFERROR(__xludf.DUMMYFUNCTION("""COMPUTED_VALUE"""),"—")</f>
        <v>—</v>
      </c>
      <c r="D2" s="1" t="str">
        <f>IFERROR(__xludf.DUMMYFUNCTION("""COMPUTED_VALUE"""),"—")</f>
        <v>—</v>
      </c>
      <c r="E2" s="1" t="str">
        <f>IFERROR(__xludf.DUMMYFUNCTION("""COMPUTED_VALUE"""),"Western")</f>
        <v>Western</v>
      </c>
      <c r="F2" s="1" t="str">
        <f>IFERROR(__xludf.DUMMYFUNCTION("""COMPUTED_VALUE"""),"4th")</f>
        <v>4th</v>
      </c>
      <c r="G2" s="1">
        <f>IFERROR(__xludf.DUMMYFUNCTION("""COMPUTED_VALUE"""),33.0)</f>
        <v>33</v>
      </c>
      <c r="H2" s="1">
        <f>IFERROR(__xludf.DUMMYFUNCTION("""COMPUTED_VALUE"""),48.0)</f>
        <v>48</v>
      </c>
      <c r="I2" s="1">
        <f>IFERROR(__xludf.DUMMYFUNCTION("""COMPUTED_VALUE"""),0.407)</f>
        <v>0.407</v>
      </c>
      <c r="J2" s="1">
        <f>IFERROR(__xludf.DUMMYFUNCTION("""COMPUTED_VALUE"""),11.0)</f>
        <v>11</v>
      </c>
      <c r="K2" s="1" t="str">
        <f>IFERROR(__xludf.DUMMYFUNCTION("""COMPUTED_VALUE"""),"Lost Division semifinals (Hawks) 3–0[19]")</f>
        <v>Lost Division semifinals (Hawks) 3–0[19]</v>
      </c>
      <c r="L2" s="1" t="str">
        <f>IFERROR(__xludf.DUMMYFUNCTION("""COMPUTED_VALUE"""),"Johnny Kerr
(COY)[6]")</f>
        <v>Johnny Kerr
(COY)[6]</v>
      </c>
      <c r="M2" s="1" t="str">
        <f>IFERROR(__xludf.DUMMYFUNCTION("""COMPUTED_VALUE"""),"Johnny Kerr")</f>
        <v>Johnny Kerr</v>
      </c>
    </row>
    <row r="3">
      <c r="A3" s="1" t="str">
        <f>IFERROR(__xludf.DUMMYFUNCTION("""COMPUTED_VALUE"""),"*1967–68*")</f>
        <v>*1967–68*</v>
      </c>
      <c r="B3" s="1" t="str">
        <f>IFERROR(__xludf.DUMMYFUNCTION("""COMPUTED_VALUE"""),"1967–68")</f>
        <v>1967–68</v>
      </c>
      <c r="C3" s="1" t="str">
        <f>IFERROR(__xludf.DUMMYFUNCTION("""COMPUTED_VALUE"""),"—")</f>
        <v>—</v>
      </c>
      <c r="D3" s="1" t="str">
        <f>IFERROR(__xludf.DUMMYFUNCTION("""COMPUTED_VALUE"""),"—")</f>
        <v>—</v>
      </c>
      <c r="E3" s="1" t="str">
        <f>IFERROR(__xludf.DUMMYFUNCTION("""COMPUTED_VALUE"""),"Western")</f>
        <v>Western</v>
      </c>
      <c r="F3" s="1" t="str">
        <f>IFERROR(__xludf.DUMMYFUNCTION("""COMPUTED_VALUE"""),"4th")</f>
        <v>4th</v>
      </c>
      <c r="G3" s="1">
        <f>IFERROR(__xludf.DUMMYFUNCTION("""COMPUTED_VALUE"""),29.0)</f>
        <v>29</v>
      </c>
      <c r="H3" s="1">
        <f>IFERROR(__xludf.DUMMYFUNCTION("""COMPUTED_VALUE"""),53.0)</f>
        <v>53</v>
      </c>
      <c r="I3" s="1">
        <f>IFERROR(__xludf.DUMMYFUNCTION("""COMPUTED_VALUE"""),0.354)</f>
        <v>0.354</v>
      </c>
      <c r="J3" s="1">
        <f>IFERROR(__xludf.DUMMYFUNCTION("""COMPUTED_VALUE"""),27.0)</f>
        <v>27</v>
      </c>
      <c r="K3" s="1" t="str">
        <f>IFERROR(__xludf.DUMMYFUNCTION("""COMPUTED_VALUE"""),"Lost Division semifinals (Lakers) 4–1[20]")</f>
        <v>Lost Division semifinals (Lakers) 4–1[20]</v>
      </c>
      <c r="L3" s="1" t="str">
        <f>IFERROR(__xludf.DUMMYFUNCTION("""COMPUTED_VALUE"""),"—")</f>
        <v>—</v>
      </c>
      <c r="M3" s="1"/>
    </row>
    <row r="4">
      <c r="A4" s="1" t="str">
        <f>IFERROR(__xludf.DUMMYFUNCTION("""COMPUTED_VALUE"""),"*1968–69*")</f>
        <v>*1968–69*</v>
      </c>
      <c r="B4" s="1" t="str">
        <f>IFERROR(__xludf.DUMMYFUNCTION("""COMPUTED_VALUE"""),"1968–69")</f>
        <v>1968–69</v>
      </c>
      <c r="C4" s="1" t="str">
        <f>IFERROR(__xludf.DUMMYFUNCTION("""COMPUTED_VALUE"""),"—")</f>
        <v>—</v>
      </c>
      <c r="D4" s="1" t="str">
        <f>IFERROR(__xludf.DUMMYFUNCTION("""COMPUTED_VALUE"""),"—")</f>
        <v>—</v>
      </c>
      <c r="E4" s="1" t="str">
        <f>IFERROR(__xludf.DUMMYFUNCTION("""COMPUTED_VALUE"""),"Western")</f>
        <v>Western</v>
      </c>
      <c r="F4" s="1" t="str">
        <f>IFERROR(__xludf.DUMMYFUNCTION("""COMPUTED_VALUE"""),"5th")</f>
        <v>5th</v>
      </c>
      <c r="G4" s="1">
        <f>IFERROR(__xludf.DUMMYFUNCTION("""COMPUTED_VALUE"""),33.0)</f>
        <v>33</v>
      </c>
      <c r="H4" s="1">
        <f>IFERROR(__xludf.DUMMYFUNCTION("""COMPUTED_VALUE"""),49.0)</f>
        <v>49</v>
      </c>
      <c r="I4" s="1">
        <f>IFERROR(__xludf.DUMMYFUNCTION("""COMPUTED_VALUE"""),0.402)</f>
        <v>0.402</v>
      </c>
      <c r="J4" s="1">
        <f>IFERROR(__xludf.DUMMYFUNCTION("""COMPUTED_VALUE"""),22.0)</f>
        <v>22</v>
      </c>
      <c r="K4" s="1"/>
      <c r="L4" s="1" t="str">
        <f>IFERROR(__xludf.DUMMYFUNCTION("""COMPUTED_VALUE"""),"—")</f>
        <v>—</v>
      </c>
      <c r="M4" s="1" t="str">
        <f>IFERROR(__xludf.DUMMYFUNCTION("""COMPUTED_VALUE"""),"Dick Motta")</f>
        <v>Dick Motta</v>
      </c>
    </row>
    <row r="5">
      <c r="A5" s="1" t="str">
        <f>IFERROR(__xludf.DUMMYFUNCTION("""COMPUTED_VALUE"""),"*1969–70*")</f>
        <v>*1969–70*</v>
      </c>
      <c r="B5" s="1" t="str">
        <f>IFERROR(__xludf.DUMMYFUNCTION("""COMPUTED_VALUE"""),"1969–70")</f>
        <v>1969–70</v>
      </c>
      <c r="C5" s="1" t="str">
        <f>IFERROR(__xludf.DUMMYFUNCTION("""COMPUTED_VALUE"""),"—")</f>
        <v>—</v>
      </c>
      <c r="D5" s="1" t="str">
        <f>IFERROR(__xludf.DUMMYFUNCTION("""COMPUTED_VALUE"""),"—")</f>
        <v>—</v>
      </c>
      <c r="E5" s="1" t="str">
        <f>IFERROR(__xludf.DUMMYFUNCTION("""COMPUTED_VALUE"""),"Western")</f>
        <v>Western</v>
      </c>
      <c r="F5" s="1" t="str">
        <f>IFERROR(__xludf.DUMMYFUNCTION("""COMPUTED_VALUE"""),"3rd[c]")</f>
        <v>3rd[c]</v>
      </c>
      <c r="G5" s="1">
        <f>IFERROR(__xludf.DUMMYFUNCTION("""COMPUTED_VALUE"""),39.0)</f>
        <v>39</v>
      </c>
      <c r="H5" s="1">
        <f>IFERROR(__xludf.DUMMYFUNCTION("""COMPUTED_VALUE"""),43.0)</f>
        <v>43</v>
      </c>
      <c r="I5" s="1">
        <f>IFERROR(__xludf.DUMMYFUNCTION("""COMPUTED_VALUE"""),0.476)</f>
        <v>0.476</v>
      </c>
      <c r="J5" s="1">
        <f>IFERROR(__xludf.DUMMYFUNCTION("""COMPUTED_VALUE"""),9.0)</f>
        <v>9</v>
      </c>
      <c r="K5" s="1" t="str">
        <f>IFERROR(__xludf.DUMMYFUNCTION("""COMPUTED_VALUE"""),"Lost Division semifinals (Hawks) 4–1[22]")</f>
        <v>Lost Division semifinals (Hawks) 4–1[22]</v>
      </c>
      <c r="L5" s="1" t="str">
        <f>IFERROR(__xludf.DUMMYFUNCTION("""COMPUTED_VALUE"""),"—")</f>
        <v>—</v>
      </c>
      <c r="M5" s="1"/>
    </row>
    <row r="6">
      <c r="A6" s="1" t="str">
        <f>IFERROR(__xludf.DUMMYFUNCTION("""COMPUTED_VALUE"""),"*1970–71*")</f>
        <v>*1970–71*</v>
      </c>
      <c r="B6" s="1" t="str">
        <f>IFERROR(__xludf.DUMMYFUNCTION("""COMPUTED_VALUE"""),"1970–71")</f>
        <v>1970–71</v>
      </c>
      <c r="C6" s="1" t="str">
        <f>IFERROR(__xludf.DUMMYFUNCTION("""COMPUTED_VALUE"""),"Western")</f>
        <v>Western</v>
      </c>
      <c r="D6" s="1" t="str">
        <f>IFERROR(__xludf.DUMMYFUNCTION("""COMPUTED_VALUE"""),"3rd")</f>
        <v>3rd</v>
      </c>
      <c r="E6" s="1" t="str">
        <f>IFERROR(__xludf.DUMMYFUNCTION("""COMPUTED_VALUE"""),"Midwest[d]")</f>
        <v>Midwest[d]</v>
      </c>
      <c r="F6" s="1" t="str">
        <f>IFERROR(__xludf.DUMMYFUNCTION("""COMPUTED_VALUE"""),"2nd")</f>
        <v>2nd</v>
      </c>
      <c r="G6" s="1">
        <f>IFERROR(__xludf.DUMMYFUNCTION("""COMPUTED_VALUE"""),51.0)</f>
        <v>51</v>
      </c>
      <c r="H6" s="1">
        <f>IFERROR(__xludf.DUMMYFUNCTION("""COMPUTED_VALUE"""),31.0)</f>
        <v>31</v>
      </c>
      <c r="I6" s="1">
        <f>IFERROR(__xludf.DUMMYFUNCTION("""COMPUTED_VALUE"""),0.622)</f>
        <v>0.622</v>
      </c>
      <c r="J6" s="1">
        <f>IFERROR(__xludf.DUMMYFUNCTION("""COMPUTED_VALUE"""),2.0)</f>
        <v>2</v>
      </c>
      <c r="K6" s="1" t="str">
        <f>IFERROR(__xludf.DUMMYFUNCTION("""COMPUTED_VALUE"""),"Lost conference semifinals (Lakers) 4–3[23]")</f>
        <v>Lost conference semifinals (Lakers) 4–3[23]</v>
      </c>
      <c r="L6" s="1" t="str">
        <f>IFERROR(__xludf.DUMMYFUNCTION("""COMPUTED_VALUE"""),"Dick Motta
(COY)[6]")</f>
        <v>Dick Motta
(COY)[6]</v>
      </c>
      <c r="M6" s="1"/>
    </row>
    <row r="7">
      <c r="A7" s="1" t="str">
        <f>IFERROR(__xludf.DUMMYFUNCTION("""COMPUTED_VALUE"""),"*1971–72*")</f>
        <v>*1971–72*</v>
      </c>
      <c r="B7" s="1" t="str">
        <f>IFERROR(__xludf.DUMMYFUNCTION("""COMPUTED_VALUE"""),"1971–72")</f>
        <v>1971–72</v>
      </c>
      <c r="C7" s="1" t="str">
        <f>IFERROR(__xludf.DUMMYFUNCTION("""COMPUTED_VALUE"""),"Western")</f>
        <v>Western</v>
      </c>
      <c r="D7" s="1" t="str">
        <f>IFERROR(__xludf.DUMMYFUNCTION("""COMPUTED_VALUE"""),"3rd")</f>
        <v>3rd</v>
      </c>
      <c r="E7" s="1" t="str">
        <f>IFERROR(__xludf.DUMMYFUNCTION("""COMPUTED_VALUE"""),"Midwest")</f>
        <v>Midwest</v>
      </c>
      <c r="F7" s="1" t="str">
        <f>IFERROR(__xludf.DUMMYFUNCTION("""COMPUTED_VALUE"""),"2nd")</f>
        <v>2nd</v>
      </c>
      <c r="G7" s="1">
        <f>IFERROR(__xludf.DUMMYFUNCTION("""COMPUTED_VALUE"""),57.0)</f>
        <v>57</v>
      </c>
      <c r="H7" s="1">
        <f>IFERROR(__xludf.DUMMYFUNCTION("""COMPUTED_VALUE"""),25.0)</f>
        <v>25</v>
      </c>
      <c r="I7" s="1">
        <f>IFERROR(__xludf.DUMMYFUNCTION("""COMPUTED_VALUE"""),0.695)</f>
        <v>0.695</v>
      </c>
      <c r="J7" s="1">
        <f>IFERROR(__xludf.DUMMYFUNCTION("""COMPUTED_VALUE"""),6.0)</f>
        <v>6</v>
      </c>
      <c r="K7" s="1" t="str">
        <f>IFERROR(__xludf.DUMMYFUNCTION("""COMPUTED_VALUE"""),"Lost conference semifinals (Lakers) 4–0[24]")</f>
        <v>Lost conference semifinals (Lakers) 4–0[24]</v>
      </c>
      <c r="L7" s="1" t="str">
        <f>IFERROR(__xludf.DUMMYFUNCTION("""COMPUTED_VALUE"""),"—")</f>
        <v>—</v>
      </c>
      <c r="M7" s="1"/>
    </row>
    <row r="8">
      <c r="A8" s="1" t="str">
        <f>IFERROR(__xludf.DUMMYFUNCTION("""COMPUTED_VALUE"""),"*1972–73*")</f>
        <v>*1972–73*</v>
      </c>
      <c r="B8" s="1" t="str">
        <f>IFERROR(__xludf.DUMMYFUNCTION("""COMPUTED_VALUE"""),"1972–73")</f>
        <v>1972–73</v>
      </c>
      <c r="C8" s="1" t="str">
        <f>IFERROR(__xludf.DUMMYFUNCTION("""COMPUTED_VALUE"""),"Western")</f>
        <v>Western</v>
      </c>
      <c r="D8" s="1" t="str">
        <f>IFERROR(__xludf.DUMMYFUNCTION("""COMPUTED_VALUE"""),"3rd")</f>
        <v>3rd</v>
      </c>
      <c r="E8" s="1" t="str">
        <f>IFERROR(__xludf.DUMMYFUNCTION("""COMPUTED_VALUE"""),"Midwest")</f>
        <v>Midwest</v>
      </c>
      <c r="F8" s="1" t="str">
        <f>IFERROR(__xludf.DUMMYFUNCTION("""COMPUTED_VALUE"""),"2nd")</f>
        <v>2nd</v>
      </c>
      <c r="G8" s="1">
        <f>IFERROR(__xludf.DUMMYFUNCTION("""COMPUTED_VALUE"""),51.0)</f>
        <v>51</v>
      </c>
      <c r="H8" s="1">
        <f>IFERROR(__xludf.DUMMYFUNCTION("""COMPUTED_VALUE"""),31.0)</f>
        <v>31</v>
      </c>
      <c r="I8" s="1">
        <f>IFERROR(__xludf.DUMMYFUNCTION("""COMPUTED_VALUE"""),0.622)</f>
        <v>0.622</v>
      </c>
      <c r="J8" s="1">
        <f>IFERROR(__xludf.DUMMYFUNCTION("""COMPUTED_VALUE"""),9.0)</f>
        <v>9</v>
      </c>
      <c r="K8" s="1" t="str">
        <f>IFERROR(__xludf.DUMMYFUNCTION("""COMPUTED_VALUE"""),"Lost conference semifinals (Lakers) 4–3[25]")</f>
        <v>Lost conference semifinals (Lakers) 4–3[25]</v>
      </c>
      <c r="L8" s="1" t="str">
        <f>IFERROR(__xludf.DUMMYFUNCTION("""COMPUTED_VALUE"""),"—")</f>
        <v>—</v>
      </c>
      <c r="M8" s="1"/>
    </row>
    <row r="9">
      <c r="A9" s="1" t="str">
        <f>IFERROR(__xludf.DUMMYFUNCTION("""COMPUTED_VALUE"""),"*1973–74*")</f>
        <v>*1973–74*</v>
      </c>
      <c r="B9" s="1" t="str">
        <f>IFERROR(__xludf.DUMMYFUNCTION("""COMPUTED_VALUE"""),"1973–74")</f>
        <v>1973–74</v>
      </c>
      <c r="C9" s="1" t="str">
        <f>IFERROR(__xludf.DUMMYFUNCTION("""COMPUTED_VALUE"""),"Western")</f>
        <v>Western</v>
      </c>
      <c r="D9" s="1" t="str">
        <f>IFERROR(__xludf.DUMMYFUNCTION("""COMPUTED_VALUE"""),"3rd")</f>
        <v>3rd</v>
      </c>
      <c r="E9" s="1" t="str">
        <f>IFERROR(__xludf.DUMMYFUNCTION("""COMPUTED_VALUE"""),"Midwest")</f>
        <v>Midwest</v>
      </c>
      <c r="F9" s="1" t="str">
        <f>IFERROR(__xludf.DUMMYFUNCTION("""COMPUTED_VALUE"""),"2nd")</f>
        <v>2nd</v>
      </c>
      <c r="G9" s="1">
        <f>IFERROR(__xludf.DUMMYFUNCTION("""COMPUTED_VALUE"""),54.0)</f>
        <v>54</v>
      </c>
      <c r="H9" s="1">
        <f>IFERROR(__xludf.DUMMYFUNCTION("""COMPUTED_VALUE"""),28.0)</f>
        <v>28</v>
      </c>
      <c r="I9" s="1">
        <f>IFERROR(__xludf.DUMMYFUNCTION("""COMPUTED_VALUE"""),0.659)</f>
        <v>0.659</v>
      </c>
      <c r="J9" s="1">
        <f>IFERROR(__xludf.DUMMYFUNCTION("""COMPUTED_VALUE"""),9.0)</f>
        <v>9</v>
      </c>
      <c r="K9" s="1" t="str">
        <f>IFERROR(__xludf.DUMMYFUNCTION("""COMPUTED_VALUE"""),"*Won*conference semifinals (Pistons) 4–3
Lost conference finals (Bucks) 4–0[26]")</f>
        <v>*Won*conference semifinals (Pistons) 4–3
Lost conference finals (Bucks) 4–0[26]</v>
      </c>
      <c r="L9" s="1" t="str">
        <f>IFERROR(__xludf.DUMMYFUNCTION("""COMPUTED_VALUE"""),"—")</f>
        <v>—</v>
      </c>
      <c r="M9" s="1"/>
    </row>
    <row r="10">
      <c r="A10" s="1" t="str">
        <f>IFERROR(__xludf.DUMMYFUNCTION("""COMPUTED_VALUE"""),"*1974–75*")</f>
        <v>*1974–75*</v>
      </c>
      <c r="B10" s="1" t="str">
        <f>IFERROR(__xludf.DUMMYFUNCTION("""COMPUTED_VALUE"""),"1974–75")</f>
        <v>1974–75</v>
      </c>
      <c r="C10" s="1" t="str">
        <f>IFERROR(__xludf.DUMMYFUNCTION("""COMPUTED_VALUE"""),"Western")</f>
        <v>Western</v>
      </c>
      <c r="D10" s="1" t="str">
        <f>IFERROR(__xludf.DUMMYFUNCTION("""COMPUTED_VALUE"""),"2nd")</f>
        <v>2nd</v>
      </c>
      <c r="E10" s="1" t="str">
        <f>IFERROR(__xludf.DUMMYFUNCTION("""COMPUTED_VALUE"""),"*Midwest*")</f>
        <v>*Midwest*</v>
      </c>
      <c r="F10" s="1" t="str">
        <f>IFERROR(__xludf.DUMMYFUNCTION("""COMPUTED_VALUE"""),"*1st*")</f>
        <v>*1st*</v>
      </c>
      <c r="G10" s="1">
        <f>IFERROR(__xludf.DUMMYFUNCTION("""COMPUTED_VALUE"""),47.0)</f>
        <v>47</v>
      </c>
      <c r="H10" s="1">
        <f>IFERROR(__xludf.DUMMYFUNCTION("""COMPUTED_VALUE"""),35.0)</f>
        <v>35</v>
      </c>
      <c r="I10" s="1">
        <f>IFERROR(__xludf.DUMMYFUNCTION("""COMPUTED_VALUE"""),0.573)</f>
        <v>0.573</v>
      </c>
      <c r="J10" s="1" t="str">
        <f>IFERROR(__xludf.DUMMYFUNCTION("""COMPUTED_VALUE"""),"—")</f>
        <v>—</v>
      </c>
      <c r="K10" s="1" t="str">
        <f>IFERROR(__xludf.DUMMYFUNCTION("""COMPUTED_VALUE"""),"*Won*conference semifinals (Kings) 4–2
Lost conference finals (Warriors) 4–3[27]")</f>
        <v>*Won*conference semifinals (Kings) 4–2
Lost conference finals (Warriors) 4–3[27]</v>
      </c>
      <c r="L10" s="1" t="str">
        <f>IFERROR(__xludf.DUMMYFUNCTION("""COMPUTED_VALUE"""),"—")</f>
        <v>—</v>
      </c>
      <c r="M10" s="1"/>
    </row>
    <row r="11">
      <c r="A11" s="1" t="str">
        <f>IFERROR(__xludf.DUMMYFUNCTION("""COMPUTED_VALUE"""),"*1975–76*")</f>
        <v>*1975–76*</v>
      </c>
      <c r="B11" s="1" t="str">
        <f>IFERROR(__xludf.DUMMYFUNCTION("""COMPUTED_VALUE"""),"1975–76")</f>
        <v>1975–76</v>
      </c>
      <c r="C11" s="1" t="str">
        <f>IFERROR(__xludf.DUMMYFUNCTION("""COMPUTED_VALUE"""),"Western")</f>
        <v>Western</v>
      </c>
      <c r="D11" s="1" t="str">
        <f>IFERROR(__xludf.DUMMYFUNCTION("""COMPUTED_VALUE"""),"9th")</f>
        <v>9th</v>
      </c>
      <c r="E11" s="1" t="str">
        <f>IFERROR(__xludf.DUMMYFUNCTION("""COMPUTED_VALUE"""),"Midwest")</f>
        <v>Midwest</v>
      </c>
      <c r="F11" s="1" t="str">
        <f>IFERROR(__xludf.DUMMYFUNCTION("""COMPUTED_VALUE"""),"4th")</f>
        <v>4th</v>
      </c>
      <c r="G11" s="1">
        <f>IFERROR(__xludf.DUMMYFUNCTION("""COMPUTED_VALUE"""),24.0)</f>
        <v>24</v>
      </c>
      <c r="H11" s="1">
        <f>IFERROR(__xludf.DUMMYFUNCTION("""COMPUTED_VALUE"""),58.0)</f>
        <v>58</v>
      </c>
      <c r="I11" s="1">
        <f>IFERROR(__xludf.DUMMYFUNCTION("""COMPUTED_VALUE"""),0.293)</f>
        <v>0.293</v>
      </c>
      <c r="J11" s="1">
        <f>IFERROR(__xludf.DUMMYFUNCTION("""COMPUTED_VALUE"""),14.0)</f>
        <v>14</v>
      </c>
      <c r="K11" s="1"/>
      <c r="L11" s="1" t="str">
        <f>IFERROR(__xludf.DUMMYFUNCTION("""COMPUTED_VALUE"""),"—")</f>
        <v>—</v>
      </c>
      <c r="M11" s="1"/>
    </row>
    <row r="12">
      <c r="A12" s="1" t="str">
        <f>IFERROR(__xludf.DUMMYFUNCTION("""COMPUTED_VALUE"""),"*1976–77*")</f>
        <v>*1976–77*</v>
      </c>
      <c r="B12" s="1" t="str">
        <f>IFERROR(__xludf.DUMMYFUNCTION("""COMPUTED_VALUE"""),"1976–77")</f>
        <v>1976–77</v>
      </c>
      <c r="C12" s="1" t="str">
        <f>IFERROR(__xludf.DUMMYFUNCTION("""COMPUTED_VALUE"""),"Western")</f>
        <v>Western</v>
      </c>
      <c r="D12" s="1" t="str">
        <f>IFERROR(__xludf.DUMMYFUNCTION("""COMPUTED_VALUE"""),"6th")</f>
        <v>6th</v>
      </c>
      <c r="E12" s="1" t="str">
        <f>IFERROR(__xludf.DUMMYFUNCTION("""COMPUTED_VALUE"""),"Midwest")</f>
        <v>Midwest</v>
      </c>
      <c r="F12" s="1" t="str">
        <f>IFERROR(__xludf.DUMMYFUNCTION("""COMPUTED_VALUE"""),"3rd[e]")</f>
        <v>3rd[e]</v>
      </c>
      <c r="G12" s="1">
        <f>IFERROR(__xludf.DUMMYFUNCTION("""COMPUTED_VALUE"""),44.0)</f>
        <v>44</v>
      </c>
      <c r="H12" s="1">
        <f>IFERROR(__xludf.DUMMYFUNCTION("""COMPUTED_VALUE"""),38.0)</f>
        <v>38</v>
      </c>
      <c r="I12" s="1">
        <f>IFERROR(__xludf.DUMMYFUNCTION("""COMPUTED_VALUE"""),0.537)</f>
        <v>0.537</v>
      </c>
      <c r="J12" s="1">
        <f>IFERROR(__xludf.DUMMYFUNCTION("""COMPUTED_VALUE"""),6.0)</f>
        <v>6</v>
      </c>
      <c r="K12" s="1" t="str">
        <f>IFERROR(__xludf.DUMMYFUNCTION("""COMPUTED_VALUE"""),"Lost First round (Trail Blazers) 2–1[29]")</f>
        <v>Lost First round (Trail Blazers) 2–1[29]</v>
      </c>
      <c r="L12" s="1" t="str">
        <f>IFERROR(__xludf.DUMMYFUNCTION("""COMPUTED_VALUE"""),"—")</f>
        <v>—</v>
      </c>
      <c r="M12" s="1" t="str">
        <f>IFERROR(__xludf.DUMMYFUNCTION("""COMPUTED_VALUE"""),"Ed Badger")</f>
        <v>Ed Badger</v>
      </c>
    </row>
    <row r="13">
      <c r="A13" s="1" t="str">
        <f>IFERROR(__xludf.DUMMYFUNCTION("""COMPUTED_VALUE"""),"*1977–78*")</f>
        <v>*1977–78*</v>
      </c>
      <c r="B13" s="1" t="str">
        <f>IFERROR(__xludf.DUMMYFUNCTION("""COMPUTED_VALUE"""),"1977–78")</f>
        <v>1977–78</v>
      </c>
      <c r="C13" s="1" t="str">
        <f>IFERROR(__xludf.DUMMYFUNCTION("""COMPUTED_VALUE"""),"Western")</f>
        <v>Western</v>
      </c>
      <c r="D13" s="1" t="str">
        <f>IFERROR(__xludf.DUMMYFUNCTION("""COMPUTED_VALUE"""),"8th")</f>
        <v>8th</v>
      </c>
      <c r="E13" s="1" t="str">
        <f>IFERROR(__xludf.DUMMYFUNCTION("""COMPUTED_VALUE"""),"Midwest")</f>
        <v>Midwest</v>
      </c>
      <c r="F13" s="1" t="str">
        <f>IFERROR(__xludf.DUMMYFUNCTION("""COMPUTED_VALUE"""),"3rd")</f>
        <v>3rd</v>
      </c>
      <c r="G13" s="1">
        <f>IFERROR(__xludf.DUMMYFUNCTION("""COMPUTED_VALUE"""),40.0)</f>
        <v>40</v>
      </c>
      <c r="H13" s="1">
        <f>IFERROR(__xludf.DUMMYFUNCTION("""COMPUTED_VALUE"""),42.0)</f>
        <v>42</v>
      </c>
      <c r="I13" s="1">
        <f>IFERROR(__xludf.DUMMYFUNCTION("""COMPUTED_VALUE"""),0.488)</f>
        <v>0.488</v>
      </c>
      <c r="J13" s="1">
        <f>IFERROR(__xludf.DUMMYFUNCTION("""COMPUTED_VALUE"""),8.0)</f>
        <v>8</v>
      </c>
      <c r="K13" s="1"/>
      <c r="L13" s="1" t="str">
        <f>IFERROR(__xludf.DUMMYFUNCTION("""COMPUTED_VALUE"""),"—")</f>
        <v>—</v>
      </c>
      <c r="M13" s="1"/>
    </row>
    <row r="14">
      <c r="A14" s="1" t="str">
        <f>IFERROR(__xludf.DUMMYFUNCTION("""COMPUTED_VALUE"""),"*1978–79*")</f>
        <v>*1978–79*</v>
      </c>
      <c r="B14" s="1" t="str">
        <f>IFERROR(__xludf.DUMMYFUNCTION("""COMPUTED_VALUE"""),"1978–79")</f>
        <v>1978–79</v>
      </c>
      <c r="C14" s="1" t="str">
        <f>IFERROR(__xludf.DUMMYFUNCTION("""COMPUTED_VALUE"""),"Western")</f>
        <v>Western</v>
      </c>
      <c r="D14" s="1" t="str">
        <f>IFERROR(__xludf.DUMMYFUNCTION("""COMPUTED_VALUE"""),"11th")</f>
        <v>11th</v>
      </c>
      <c r="E14" s="1" t="str">
        <f>IFERROR(__xludf.DUMMYFUNCTION("""COMPUTED_VALUE"""),"Midwest")</f>
        <v>Midwest</v>
      </c>
      <c r="F14" s="1" t="str">
        <f>IFERROR(__xludf.DUMMYFUNCTION("""COMPUTED_VALUE"""),"5th")</f>
        <v>5th</v>
      </c>
      <c r="G14" s="1">
        <f>IFERROR(__xludf.DUMMYFUNCTION("""COMPUTED_VALUE"""),31.0)</f>
        <v>31</v>
      </c>
      <c r="H14" s="1">
        <f>IFERROR(__xludf.DUMMYFUNCTION("""COMPUTED_VALUE"""),51.0)</f>
        <v>51</v>
      </c>
      <c r="I14" s="1">
        <f>IFERROR(__xludf.DUMMYFUNCTION("""COMPUTED_VALUE"""),0.378)</f>
        <v>0.378</v>
      </c>
      <c r="J14" s="1">
        <f>IFERROR(__xludf.DUMMYFUNCTION("""COMPUTED_VALUE"""),17.0)</f>
        <v>17</v>
      </c>
      <c r="K14" s="1"/>
      <c r="L14" s="1" t="str">
        <f>IFERROR(__xludf.DUMMYFUNCTION("""COMPUTED_VALUE"""),"—")</f>
        <v>—</v>
      </c>
      <c r="M14" s="1" t="str">
        <f>IFERROR(__xludf.DUMMYFUNCTION("""COMPUTED_VALUE"""),"Larry Costello
Scotty Robertson")</f>
        <v>Larry Costello
Scotty Robertson</v>
      </c>
    </row>
    <row r="15">
      <c r="A15" s="1" t="str">
        <f>IFERROR(__xludf.DUMMYFUNCTION("""COMPUTED_VALUE"""),"*1979–80*")</f>
        <v>*1979–80*</v>
      </c>
      <c r="B15" s="1" t="str">
        <f>IFERROR(__xludf.DUMMYFUNCTION("""COMPUTED_VALUE"""),"1979–80")</f>
        <v>1979–80</v>
      </c>
      <c r="C15" s="1" t="str">
        <f>IFERROR(__xludf.DUMMYFUNCTION("""COMPUTED_VALUE"""),"Western")</f>
        <v>Western</v>
      </c>
      <c r="D15" s="1" t="str">
        <f>IFERROR(__xludf.DUMMYFUNCTION("""COMPUTED_VALUE"""),"9th")</f>
        <v>9th</v>
      </c>
      <c r="E15" s="1" t="str">
        <f>IFERROR(__xludf.DUMMYFUNCTION("""COMPUTED_VALUE"""),"Midwest")</f>
        <v>Midwest</v>
      </c>
      <c r="F15" s="1" t="str">
        <f>IFERROR(__xludf.DUMMYFUNCTION("""COMPUTED_VALUE"""),"4th[f]")</f>
        <v>4th[f]</v>
      </c>
      <c r="G15" s="1">
        <f>IFERROR(__xludf.DUMMYFUNCTION("""COMPUTED_VALUE"""),30.0)</f>
        <v>30</v>
      </c>
      <c r="H15" s="1">
        <f>IFERROR(__xludf.DUMMYFUNCTION("""COMPUTED_VALUE"""),52.0)</f>
        <v>52</v>
      </c>
      <c r="I15" s="1">
        <f>IFERROR(__xludf.DUMMYFUNCTION("""COMPUTED_VALUE"""),0.366)</f>
        <v>0.366</v>
      </c>
      <c r="J15" s="1">
        <f>IFERROR(__xludf.DUMMYFUNCTION("""COMPUTED_VALUE"""),19.0)</f>
        <v>19</v>
      </c>
      <c r="K15" s="1"/>
      <c r="L15" s="1" t="str">
        <f>IFERROR(__xludf.DUMMYFUNCTION("""COMPUTED_VALUE"""),"—")</f>
        <v>—</v>
      </c>
      <c r="M15" s="1" t="str">
        <f>IFERROR(__xludf.DUMMYFUNCTION("""COMPUTED_VALUE"""),"Jerry Sloan")</f>
        <v>Jerry Sloan</v>
      </c>
    </row>
    <row r="16">
      <c r="A16" s="1" t="str">
        <f>IFERROR(__xludf.DUMMYFUNCTION("""COMPUTED_VALUE"""),"*1980–81*")</f>
        <v>*1980–81*</v>
      </c>
      <c r="B16" s="1" t="str">
        <f>IFERROR(__xludf.DUMMYFUNCTION("""COMPUTED_VALUE"""),"1980–81")</f>
        <v>1980–81</v>
      </c>
      <c r="C16" s="1" t="str">
        <f>IFERROR(__xludf.DUMMYFUNCTION("""COMPUTED_VALUE"""),"Eastern")</f>
        <v>Eastern</v>
      </c>
      <c r="D16" s="1" t="str">
        <f>IFERROR(__xludf.DUMMYFUNCTION("""COMPUTED_VALUE"""),"5th")</f>
        <v>5th</v>
      </c>
      <c r="E16" s="1" t="str">
        <f>IFERROR(__xludf.DUMMYFUNCTION("""COMPUTED_VALUE"""),"Central[g]")</f>
        <v>Central[g]</v>
      </c>
      <c r="F16" s="1" t="str">
        <f>IFERROR(__xludf.DUMMYFUNCTION("""COMPUTED_VALUE"""),"2nd")</f>
        <v>2nd</v>
      </c>
      <c r="G16" s="1">
        <f>IFERROR(__xludf.DUMMYFUNCTION("""COMPUTED_VALUE"""),45.0)</f>
        <v>45</v>
      </c>
      <c r="H16" s="1">
        <f>IFERROR(__xludf.DUMMYFUNCTION("""COMPUTED_VALUE"""),37.0)</f>
        <v>37</v>
      </c>
      <c r="I16" s="1">
        <f>IFERROR(__xludf.DUMMYFUNCTION("""COMPUTED_VALUE"""),0.549)</f>
        <v>0.549</v>
      </c>
      <c r="J16" s="1">
        <f>IFERROR(__xludf.DUMMYFUNCTION("""COMPUTED_VALUE"""),15.0)</f>
        <v>15</v>
      </c>
      <c r="K16" s="1" t="str">
        <f>IFERROR(__xludf.DUMMYFUNCTION("""COMPUTED_VALUE"""),"*Won*First round (Knicks) 2–0 
Lost conference semifinals (Celtics) 4–0[31]")</f>
        <v>*Won*First round (Knicks) 2–0 
Lost conference semifinals (Celtics) 4–0[31]</v>
      </c>
      <c r="L16" s="1" t="str">
        <f>IFERROR(__xludf.DUMMYFUNCTION("""COMPUTED_VALUE"""),"—")</f>
        <v>—</v>
      </c>
      <c r="M16" s="1"/>
    </row>
    <row r="17">
      <c r="A17" s="1" t="str">
        <f>IFERROR(__xludf.DUMMYFUNCTION("""COMPUTED_VALUE"""),"*1981–82*")</f>
        <v>*1981–82*</v>
      </c>
      <c r="B17" s="1" t="str">
        <f>IFERROR(__xludf.DUMMYFUNCTION("""COMPUTED_VALUE"""),"1981–82")</f>
        <v>1981–82</v>
      </c>
      <c r="C17" s="1" t="str">
        <f>IFERROR(__xludf.DUMMYFUNCTION("""COMPUTED_VALUE"""),"Eastern")</f>
        <v>Eastern</v>
      </c>
      <c r="D17" s="1" t="str">
        <f>IFERROR(__xludf.DUMMYFUNCTION("""COMPUTED_VALUE"""),"9th")</f>
        <v>9th</v>
      </c>
      <c r="E17" s="1" t="str">
        <f>IFERROR(__xludf.DUMMYFUNCTION("""COMPUTED_VALUE"""),"Central")</f>
        <v>Central</v>
      </c>
      <c r="F17" s="1" t="str">
        <f>IFERROR(__xludf.DUMMYFUNCTION("""COMPUTED_VALUE"""),"5th")</f>
        <v>5th</v>
      </c>
      <c r="G17" s="1">
        <f>IFERROR(__xludf.DUMMYFUNCTION("""COMPUTED_VALUE"""),34.0)</f>
        <v>34</v>
      </c>
      <c r="H17" s="1">
        <f>IFERROR(__xludf.DUMMYFUNCTION("""COMPUTED_VALUE"""),48.0)</f>
        <v>48</v>
      </c>
      <c r="I17" s="1">
        <f>IFERROR(__xludf.DUMMYFUNCTION("""COMPUTED_VALUE"""),0.415)</f>
        <v>0.415</v>
      </c>
      <c r="J17" s="1">
        <f>IFERROR(__xludf.DUMMYFUNCTION("""COMPUTED_VALUE"""),21.0)</f>
        <v>21</v>
      </c>
      <c r="K17" s="1"/>
      <c r="L17" s="1" t="str">
        <f>IFERROR(__xludf.DUMMYFUNCTION("""COMPUTED_VALUE"""),"—")</f>
        <v>—</v>
      </c>
      <c r="M17" s="1" t="str">
        <f>IFERROR(__xludf.DUMMYFUNCTION("""COMPUTED_VALUE"""),"Jerry Sloan 
Phil Johnson
Rod Thorn")</f>
        <v>Jerry Sloan 
Phil Johnson
Rod Thorn</v>
      </c>
    </row>
    <row r="18">
      <c r="A18" s="1" t="str">
        <f>IFERROR(__xludf.DUMMYFUNCTION("""COMPUTED_VALUE"""),"*1982–83*")</f>
        <v>*1982–83*</v>
      </c>
      <c r="B18" s="1" t="str">
        <f>IFERROR(__xludf.DUMMYFUNCTION("""COMPUTED_VALUE"""),"1982–83")</f>
        <v>1982–83</v>
      </c>
      <c r="C18" s="1" t="str">
        <f>IFERROR(__xludf.DUMMYFUNCTION("""COMPUTED_VALUE"""),"Eastern")</f>
        <v>Eastern</v>
      </c>
      <c r="D18" s="1" t="str">
        <f>IFERROR(__xludf.DUMMYFUNCTION("""COMPUTED_VALUE"""),"9th")</f>
        <v>9th</v>
      </c>
      <c r="E18" s="1" t="str">
        <f>IFERROR(__xludf.DUMMYFUNCTION("""COMPUTED_VALUE"""),"Central")</f>
        <v>Central</v>
      </c>
      <c r="F18" s="1" t="str">
        <f>IFERROR(__xludf.DUMMYFUNCTION("""COMPUTED_VALUE"""),"4th")</f>
        <v>4th</v>
      </c>
      <c r="G18" s="1">
        <f>IFERROR(__xludf.DUMMYFUNCTION("""COMPUTED_VALUE"""),28.0)</f>
        <v>28</v>
      </c>
      <c r="H18" s="1">
        <f>IFERROR(__xludf.DUMMYFUNCTION("""COMPUTED_VALUE"""),54.0)</f>
        <v>54</v>
      </c>
      <c r="I18" s="1">
        <f>IFERROR(__xludf.DUMMYFUNCTION("""COMPUTED_VALUE"""),0.341)</f>
        <v>0.341</v>
      </c>
      <c r="J18" s="1">
        <f>IFERROR(__xludf.DUMMYFUNCTION("""COMPUTED_VALUE"""),23.0)</f>
        <v>23</v>
      </c>
      <c r="K18" s="1"/>
      <c r="L18" s="1" t="str">
        <f>IFERROR(__xludf.DUMMYFUNCTION("""COMPUTED_VALUE"""),"—")</f>
        <v>—</v>
      </c>
      <c r="M18" s="1" t="str">
        <f>IFERROR(__xludf.DUMMYFUNCTION("""COMPUTED_VALUE"""),"Paul Westhead")</f>
        <v>Paul Westhead</v>
      </c>
    </row>
    <row r="19">
      <c r="A19" s="1" t="str">
        <f>IFERROR(__xludf.DUMMYFUNCTION("""COMPUTED_VALUE"""),"*1983–84*")</f>
        <v>*1983–84*</v>
      </c>
      <c r="B19" s="1" t="str">
        <f>IFERROR(__xludf.DUMMYFUNCTION("""COMPUTED_VALUE"""),"1983–84")</f>
        <v>1983–84</v>
      </c>
      <c r="C19" s="1" t="str">
        <f>IFERROR(__xludf.DUMMYFUNCTION("""COMPUTED_VALUE"""),"Eastern")</f>
        <v>Eastern</v>
      </c>
      <c r="D19" s="1" t="str">
        <f>IFERROR(__xludf.DUMMYFUNCTION("""COMPUTED_VALUE"""),"10th")</f>
        <v>10th</v>
      </c>
      <c r="E19" s="1" t="str">
        <f>IFERROR(__xludf.DUMMYFUNCTION("""COMPUTED_VALUE"""),"Central")</f>
        <v>Central</v>
      </c>
      <c r="F19" s="1" t="str">
        <f>IFERROR(__xludf.DUMMYFUNCTION("""COMPUTED_VALUE"""),"5th")</f>
        <v>5th</v>
      </c>
      <c r="G19" s="1">
        <f>IFERROR(__xludf.DUMMYFUNCTION("""COMPUTED_VALUE"""),27.0)</f>
        <v>27</v>
      </c>
      <c r="H19" s="1">
        <f>IFERROR(__xludf.DUMMYFUNCTION("""COMPUTED_VALUE"""),55.0)</f>
        <v>55</v>
      </c>
      <c r="I19" s="1">
        <f>IFERROR(__xludf.DUMMYFUNCTION("""COMPUTED_VALUE"""),0.329)</f>
        <v>0.329</v>
      </c>
      <c r="J19" s="1">
        <f>IFERROR(__xludf.DUMMYFUNCTION("""COMPUTED_VALUE"""),23.0)</f>
        <v>23</v>
      </c>
      <c r="K19" s="1"/>
      <c r="L19" s="1" t="str">
        <f>IFERROR(__xludf.DUMMYFUNCTION("""COMPUTED_VALUE"""),"—")</f>
        <v>—</v>
      </c>
      <c r="M19" s="1" t="str">
        <f>IFERROR(__xludf.DUMMYFUNCTION("""COMPUTED_VALUE"""),"Kevin Loughery")</f>
        <v>Kevin Loughery</v>
      </c>
    </row>
    <row r="20">
      <c r="A20" s="1" t="str">
        <f>IFERROR(__xludf.DUMMYFUNCTION("""COMPUTED_VALUE"""),"*1984–85*")</f>
        <v>*1984–85*</v>
      </c>
      <c r="B20" s="1" t="str">
        <f>IFERROR(__xludf.DUMMYFUNCTION("""COMPUTED_VALUE"""),"1984–85")</f>
        <v>1984–85</v>
      </c>
      <c r="C20" s="1" t="str">
        <f>IFERROR(__xludf.DUMMYFUNCTION("""COMPUTED_VALUE"""),"Eastern")</f>
        <v>Eastern</v>
      </c>
      <c r="D20" s="1" t="str">
        <f>IFERROR(__xludf.DUMMYFUNCTION("""COMPUTED_VALUE"""),"7th")</f>
        <v>7th</v>
      </c>
      <c r="E20" s="1" t="str">
        <f>IFERROR(__xludf.DUMMYFUNCTION("""COMPUTED_VALUE"""),"Central")</f>
        <v>Central</v>
      </c>
      <c r="F20" s="1" t="str">
        <f>IFERROR(__xludf.DUMMYFUNCTION("""COMPUTED_VALUE"""),"3rd")</f>
        <v>3rd</v>
      </c>
      <c r="G20" s="1">
        <f>IFERROR(__xludf.DUMMYFUNCTION("""COMPUTED_VALUE"""),38.0)</f>
        <v>38</v>
      </c>
      <c r="H20" s="1">
        <f>IFERROR(__xludf.DUMMYFUNCTION("""COMPUTED_VALUE"""),44.0)</f>
        <v>44</v>
      </c>
      <c r="I20" s="1">
        <f>IFERROR(__xludf.DUMMYFUNCTION("""COMPUTED_VALUE"""),0.463)</f>
        <v>0.463</v>
      </c>
      <c r="J20" s="1">
        <f>IFERROR(__xludf.DUMMYFUNCTION("""COMPUTED_VALUE"""),21.0)</f>
        <v>21</v>
      </c>
      <c r="K20" s="1" t="str">
        <f>IFERROR(__xludf.DUMMYFUNCTION("""COMPUTED_VALUE"""),"Lost First round (Bucks) 3–1[32]")</f>
        <v>Lost First round (Bucks) 3–1[32]</v>
      </c>
      <c r="L20" s="1" t="str">
        <f>IFERROR(__xludf.DUMMYFUNCTION("""COMPUTED_VALUE"""),"Michael Jordan
(ROY)[6]")</f>
        <v>Michael Jordan
(ROY)[6]</v>
      </c>
      <c r="M20" s="1"/>
    </row>
    <row r="21">
      <c r="A21" s="1" t="str">
        <f>IFERROR(__xludf.DUMMYFUNCTION("""COMPUTED_VALUE"""),"*1985–86*")</f>
        <v>*1985–86*</v>
      </c>
      <c r="B21" s="1" t="str">
        <f>IFERROR(__xludf.DUMMYFUNCTION("""COMPUTED_VALUE"""),"1985–86")</f>
        <v>1985–86</v>
      </c>
      <c r="C21" s="1" t="str">
        <f>IFERROR(__xludf.DUMMYFUNCTION("""COMPUTED_VALUE"""),"Eastern")</f>
        <v>Eastern</v>
      </c>
      <c r="D21" s="1" t="str">
        <f>IFERROR(__xludf.DUMMYFUNCTION("""COMPUTED_VALUE"""),"8th")</f>
        <v>8th</v>
      </c>
      <c r="E21" s="1" t="str">
        <f>IFERROR(__xludf.DUMMYFUNCTION("""COMPUTED_VALUE"""),"Central")</f>
        <v>Central</v>
      </c>
      <c r="F21" s="1" t="str">
        <f>IFERROR(__xludf.DUMMYFUNCTION("""COMPUTED_VALUE"""),"4th")</f>
        <v>4th</v>
      </c>
      <c r="G21" s="1">
        <f>IFERROR(__xludf.DUMMYFUNCTION("""COMPUTED_VALUE"""),30.0)</f>
        <v>30</v>
      </c>
      <c r="H21" s="1">
        <f>IFERROR(__xludf.DUMMYFUNCTION("""COMPUTED_VALUE"""),52.0)</f>
        <v>52</v>
      </c>
      <c r="I21" s="1">
        <f>IFERROR(__xludf.DUMMYFUNCTION("""COMPUTED_VALUE"""),0.366)</f>
        <v>0.366</v>
      </c>
      <c r="J21" s="1">
        <f>IFERROR(__xludf.DUMMYFUNCTION("""COMPUTED_VALUE"""),27.0)</f>
        <v>27</v>
      </c>
      <c r="K21" s="1" t="str">
        <f>IFERROR(__xludf.DUMMYFUNCTION("""COMPUTED_VALUE"""),"Lost First round (Celtics) 3–0[33]")</f>
        <v>Lost First round (Celtics) 3–0[33]</v>
      </c>
      <c r="L21" s="1" t="str">
        <f>IFERROR(__xludf.DUMMYFUNCTION("""COMPUTED_VALUE"""),"—")</f>
        <v>—</v>
      </c>
      <c r="M21" s="1" t="str">
        <f>IFERROR(__xludf.DUMMYFUNCTION("""COMPUTED_VALUE"""),"Stan Albeck")</f>
        <v>Stan Albeck</v>
      </c>
    </row>
    <row r="22">
      <c r="A22" s="1" t="str">
        <f>IFERROR(__xludf.DUMMYFUNCTION("""COMPUTED_VALUE"""),"*1986–87*")</f>
        <v>*1986–87*</v>
      </c>
      <c r="B22" s="1" t="str">
        <f>IFERROR(__xludf.DUMMYFUNCTION("""COMPUTED_VALUE"""),"1986–87")</f>
        <v>1986–87</v>
      </c>
      <c r="C22" s="1" t="str">
        <f>IFERROR(__xludf.DUMMYFUNCTION("""COMPUTED_VALUE"""),"Eastern")</f>
        <v>Eastern</v>
      </c>
      <c r="D22" s="1" t="str">
        <f>IFERROR(__xludf.DUMMYFUNCTION("""COMPUTED_VALUE"""),"8th")</f>
        <v>8th</v>
      </c>
      <c r="E22" s="1" t="str">
        <f>IFERROR(__xludf.DUMMYFUNCTION("""COMPUTED_VALUE"""),"Central")</f>
        <v>Central</v>
      </c>
      <c r="F22" s="1" t="str">
        <f>IFERROR(__xludf.DUMMYFUNCTION("""COMPUTED_VALUE"""),"5th")</f>
        <v>5th</v>
      </c>
      <c r="G22" s="1">
        <f>IFERROR(__xludf.DUMMYFUNCTION("""COMPUTED_VALUE"""),40.0)</f>
        <v>40</v>
      </c>
      <c r="H22" s="1">
        <f>IFERROR(__xludf.DUMMYFUNCTION("""COMPUTED_VALUE"""),42.0)</f>
        <v>42</v>
      </c>
      <c r="I22" s="1">
        <f>IFERROR(__xludf.DUMMYFUNCTION("""COMPUTED_VALUE"""),0.488)</f>
        <v>0.488</v>
      </c>
      <c r="J22" s="1">
        <f>IFERROR(__xludf.DUMMYFUNCTION("""COMPUTED_VALUE"""),17.0)</f>
        <v>17</v>
      </c>
      <c r="K22" s="1" t="str">
        <f>IFERROR(__xludf.DUMMYFUNCTION("""COMPUTED_VALUE"""),"Lost First round (Celtics) 3–0[34]")</f>
        <v>Lost First round (Celtics) 3–0[34]</v>
      </c>
      <c r="L22" s="1" t="str">
        <f>IFERROR(__xludf.DUMMYFUNCTION("""COMPUTED_VALUE"""),"—")</f>
        <v>—</v>
      </c>
      <c r="M22" s="1" t="str">
        <f>IFERROR(__xludf.DUMMYFUNCTION("""COMPUTED_VALUE"""),"Doug Collins")</f>
        <v>Doug Collins</v>
      </c>
    </row>
    <row r="23">
      <c r="A23" s="1" t="str">
        <f>IFERROR(__xludf.DUMMYFUNCTION("""COMPUTED_VALUE"""),"*1987–88*")</f>
        <v>*1987–88*</v>
      </c>
      <c r="B23" s="1" t="str">
        <f>IFERROR(__xludf.DUMMYFUNCTION("""COMPUTED_VALUE"""),"1987–88")</f>
        <v>1987–88</v>
      </c>
      <c r="C23" s="1" t="str">
        <f>IFERROR(__xludf.DUMMYFUNCTION("""COMPUTED_VALUE"""),"Eastern")</f>
        <v>Eastern</v>
      </c>
      <c r="D23" s="1" t="str">
        <f>IFERROR(__xludf.DUMMYFUNCTION("""COMPUTED_VALUE"""),"3rd")</f>
        <v>3rd</v>
      </c>
      <c r="E23" s="1" t="str">
        <f>IFERROR(__xludf.DUMMYFUNCTION("""COMPUTED_VALUE"""),"Central")</f>
        <v>Central</v>
      </c>
      <c r="F23" s="1" t="str">
        <f>IFERROR(__xludf.DUMMYFUNCTION("""COMPUTED_VALUE"""),"2nd[h]")</f>
        <v>2nd[h]</v>
      </c>
      <c r="G23" s="1">
        <f>IFERROR(__xludf.DUMMYFUNCTION("""COMPUTED_VALUE"""),50.0)</f>
        <v>50</v>
      </c>
      <c r="H23" s="1">
        <f>IFERROR(__xludf.DUMMYFUNCTION("""COMPUTED_VALUE"""),32.0)</f>
        <v>32</v>
      </c>
      <c r="I23" s="1">
        <f>IFERROR(__xludf.DUMMYFUNCTION("""COMPUTED_VALUE"""),0.61)</f>
        <v>0.61</v>
      </c>
      <c r="J23" s="1">
        <f>IFERROR(__xludf.DUMMYFUNCTION("""COMPUTED_VALUE"""),4.0)</f>
        <v>4</v>
      </c>
      <c r="K23" s="1" t="str">
        <f>IFERROR(__xludf.DUMMYFUNCTION("""COMPUTED_VALUE"""),"*Won*First round (Cavaliers) 3–2
Lost conference semifinals (Pistons) 4–1[36]")</f>
        <v>*Won*First round (Cavaliers) 3–2
Lost conference semifinals (Pistons) 4–1[36]</v>
      </c>
      <c r="L23" s="1" t="str">
        <f>IFERROR(__xludf.DUMMYFUNCTION("""COMPUTED_VALUE"""),"Michael Jordan
(MVP, DPOY, ASG MVP)[6]
Jerry Krause(EOY)")</f>
        <v>Michael Jordan
(MVP, DPOY, ASG MVP)[6]
Jerry Krause(EOY)</v>
      </c>
      <c r="M23" s="1"/>
    </row>
    <row r="24">
      <c r="A24" s="1" t="str">
        <f>IFERROR(__xludf.DUMMYFUNCTION("""COMPUTED_VALUE"""),"*1988–89*")</f>
        <v>*1988–89*</v>
      </c>
      <c r="B24" s="1" t="str">
        <f>IFERROR(__xludf.DUMMYFUNCTION("""COMPUTED_VALUE"""),"1988–89")</f>
        <v>1988–89</v>
      </c>
      <c r="C24" s="1" t="str">
        <f>IFERROR(__xludf.DUMMYFUNCTION("""COMPUTED_VALUE"""),"Eastern")</f>
        <v>Eastern</v>
      </c>
      <c r="D24" s="1" t="str">
        <f>IFERROR(__xludf.DUMMYFUNCTION("""COMPUTED_VALUE"""),"6th")</f>
        <v>6th</v>
      </c>
      <c r="E24" s="1" t="str">
        <f>IFERROR(__xludf.DUMMYFUNCTION("""COMPUTED_VALUE"""),"Central")</f>
        <v>Central</v>
      </c>
      <c r="F24" s="1" t="str">
        <f>IFERROR(__xludf.DUMMYFUNCTION("""COMPUTED_VALUE"""),"5th")</f>
        <v>5th</v>
      </c>
      <c r="G24" s="1">
        <f>IFERROR(__xludf.DUMMYFUNCTION("""COMPUTED_VALUE"""),47.0)</f>
        <v>47</v>
      </c>
      <c r="H24" s="1">
        <f>IFERROR(__xludf.DUMMYFUNCTION("""COMPUTED_VALUE"""),35.0)</f>
        <v>35</v>
      </c>
      <c r="I24" s="1">
        <f>IFERROR(__xludf.DUMMYFUNCTION("""COMPUTED_VALUE"""),0.573)</f>
        <v>0.573</v>
      </c>
      <c r="J24" s="1">
        <f>IFERROR(__xludf.DUMMYFUNCTION("""COMPUTED_VALUE"""),16.0)</f>
        <v>16</v>
      </c>
      <c r="K24" s="1" t="str">
        <f>IFERROR(__xludf.DUMMYFUNCTION("""COMPUTED_VALUE"""),"*Won*First round (Cavaliers) 3–2
*Won*conference semifinals (Knicks) 4–2
Lost conference finals (Pistons) 4–2[37]")</f>
        <v>*Won*First round (Cavaliers) 3–2
*Won*conference semifinals (Knicks) 4–2
Lost conference finals (Pistons) 4–2[37]</v>
      </c>
      <c r="L24" s="1" t="str">
        <f>IFERROR(__xludf.DUMMYFUNCTION("""COMPUTED_VALUE"""),"—")</f>
        <v>—</v>
      </c>
      <c r="M24" s="1"/>
    </row>
    <row r="25">
      <c r="A25" s="1" t="str">
        <f>IFERROR(__xludf.DUMMYFUNCTION("""COMPUTED_VALUE"""),"*1989–90*")</f>
        <v>*1989–90*</v>
      </c>
      <c r="B25" s="1" t="str">
        <f>IFERROR(__xludf.DUMMYFUNCTION("""COMPUTED_VALUE"""),"1989–90")</f>
        <v>1989–90</v>
      </c>
      <c r="C25" s="1" t="str">
        <f>IFERROR(__xludf.DUMMYFUNCTION("""COMPUTED_VALUE"""),"Eastern")</f>
        <v>Eastern</v>
      </c>
      <c r="D25" s="1" t="str">
        <f>IFERROR(__xludf.DUMMYFUNCTION("""COMPUTED_VALUE"""),"3rd")</f>
        <v>3rd</v>
      </c>
      <c r="E25" s="1" t="str">
        <f>IFERROR(__xludf.DUMMYFUNCTION("""COMPUTED_VALUE"""),"Central")</f>
        <v>Central</v>
      </c>
      <c r="F25" s="1" t="str">
        <f>IFERROR(__xludf.DUMMYFUNCTION("""COMPUTED_VALUE"""),"2nd")</f>
        <v>2nd</v>
      </c>
      <c r="G25" s="1">
        <f>IFERROR(__xludf.DUMMYFUNCTION("""COMPUTED_VALUE"""),55.0)</f>
        <v>55</v>
      </c>
      <c r="H25" s="1">
        <f>IFERROR(__xludf.DUMMYFUNCTION("""COMPUTED_VALUE"""),27.0)</f>
        <v>27</v>
      </c>
      <c r="I25" s="1">
        <f>IFERROR(__xludf.DUMMYFUNCTION("""COMPUTED_VALUE"""),0.671)</f>
        <v>0.671</v>
      </c>
      <c r="J25" s="1">
        <f>IFERROR(__xludf.DUMMYFUNCTION("""COMPUTED_VALUE"""),4.0)</f>
        <v>4</v>
      </c>
      <c r="K25" s="1" t="str">
        <f>IFERROR(__xludf.DUMMYFUNCTION("""COMPUTED_VALUE"""),"*Won*First round (Bucks) 3–1
*Won*conference semifinals (76ers) 4–1
Lost conference finals (Pistons) 4–3[38]")</f>
        <v>*Won*First round (Bucks) 3–1
*Won*conference semifinals (76ers) 4–1
Lost conference finals (Pistons) 4–3[38]</v>
      </c>
      <c r="L25" s="1" t="str">
        <f>IFERROR(__xludf.DUMMYFUNCTION("""COMPUTED_VALUE"""),"—")</f>
        <v>—</v>
      </c>
      <c r="M25" s="1" t="str">
        <f>IFERROR(__xludf.DUMMYFUNCTION("""COMPUTED_VALUE"""),"Phil Jackson")</f>
        <v>Phil Jackson</v>
      </c>
    </row>
    <row r="26">
      <c r="A26" s="1" t="str">
        <f>IFERROR(__xludf.DUMMYFUNCTION("""COMPUTED_VALUE"""),"*1990–91*")</f>
        <v>*1990–91*</v>
      </c>
      <c r="B26" s="1" t="str">
        <f>IFERROR(__xludf.DUMMYFUNCTION("""COMPUTED_VALUE"""),"*1990–91*")</f>
        <v>*1990–91*</v>
      </c>
      <c r="C26" s="1" t="str">
        <f>IFERROR(__xludf.DUMMYFUNCTION("""COMPUTED_VALUE"""),"*Eastern*")</f>
        <v>*Eastern*</v>
      </c>
      <c r="D26" s="1" t="str">
        <f>IFERROR(__xludf.DUMMYFUNCTION("""COMPUTED_VALUE"""),"1st")</f>
        <v>1st</v>
      </c>
      <c r="E26" s="1" t="str">
        <f>IFERROR(__xludf.DUMMYFUNCTION("""COMPUTED_VALUE"""),"*Central*")</f>
        <v>*Central*</v>
      </c>
      <c r="F26" s="1" t="str">
        <f>IFERROR(__xludf.DUMMYFUNCTION("""COMPUTED_VALUE"""),"*1st*")</f>
        <v>*1st*</v>
      </c>
      <c r="G26" s="1">
        <f>IFERROR(__xludf.DUMMYFUNCTION("""COMPUTED_VALUE"""),61.0)</f>
        <v>61</v>
      </c>
      <c r="H26" s="1">
        <f>IFERROR(__xludf.DUMMYFUNCTION("""COMPUTED_VALUE"""),21.0)</f>
        <v>21</v>
      </c>
      <c r="I26" s="1">
        <f>IFERROR(__xludf.DUMMYFUNCTION("""COMPUTED_VALUE"""),0.744)</f>
        <v>0.744</v>
      </c>
      <c r="J26" s="1" t="str">
        <f>IFERROR(__xludf.DUMMYFUNCTION("""COMPUTED_VALUE"""),"—")</f>
        <v>—</v>
      </c>
      <c r="K26" s="1" t="str">
        <f>IFERROR(__xludf.DUMMYFUNCTION("""COMPUTED_VALUE"""),"*Won*First round (Knicks) 3–0
*Won*conference semifinals (76ers) 4–1
*Won*conference finals (Pistons) 4–0
*Won NBA Finals* (Lakers) 4–1[39]")</f>
        <v>*Won*First round (Knicks) 3–0
*Won*conference semifinals (76ers) 4–1
*Won*conference finals (Pistons) 4–0
*Won NBA Finals* (Lakers) 4–1[39]</v>
      </c>
      <c r="L26" s="1" t="str">
        <f>IFERROR(__xludf.DUMMYFUNCTION("""COMPUTED_VALUE"""),"Michael Jordan
(MVP, FMVP)[6]")</f>
        <v>Michael Jordan
(MVP, FMVP)[6]</v>
      </c>
      <c r="M26" s="1"/>
    </row>
    <row r="27">
      <c r="A27" s="1" t="str">
        <f>IFERROR(__xludf.DUMMYFUNCTION("""COMPUTED_VALUE"""),"*1991–92*")</f>
        <v>*1991–92*</v>
      </c>
      <c r="B27" s="1" t="str">
        <f>IFERROR(__xludf.DUMMYFUNCTION("""COMPUTED_VALUE"""),"*1991–92*")</f>
        <v>*1991–92*</v>
      </c>
      <c r="C27" s="1" t="str">
        <f>IFERROR(__xludf.DUMMYFUNCTION("""COMPUTED_VALUE"""),"*Eastern*")</f>
        <v>*Eastern*</v>
      </c>
      <c r="D27" s="1" t="str">
        <f>IFERROR(__xludf.DUMMYFUNCTION("""COMPUTED_VALUE"""),"1st")</f>
        <v>1st</v>
      </c>
      <c r="E27" s="1" t="str">
        <f>IFERROR(__xludf.DUMMYFUNCTION("""COMPUTED_VALUE"""),"*Central*")</f>
        <v>*Central*</v>
      </c>
      <c r="F27" s="1" t="str">
        <f>IFERROR(__xludf.DUMMYFUNCTION("""COMPUTED_VALUE"""),"*1st*")</f>
        <v>*1st*</v>
      </c>
      <c r="G27" s="1">
        <f>IFERROR(__xludf.DUMMYFUNCTION("""COMPUTED_VALUE"""),67.0)</f>
        <v>67</v>
      </c>
      <c r="H27" s="1">
        <f>IFERROR(__xludf.DUMMYFUNCTION("""COMPUTED_VALUE"""),15.0)</f>
        <v>15</v>
      </c>
      <c r="I27" s="1">
        <f>IFERROR(__xludf.DUMMYFUNCTION("""COMPUTED_VALUE"""),0.817)</f>
        <v>0.817</v>
      </c>
      <c r="J27" s="1" t="str">
        <f>IFERROR(__xludf.DUMMYFUNCTION("""COMPUTED_VALUE"""),"—")</f>
        <v>—</v>
      </c>
      <c r="K27" s="1" t="str">
        <f>IFERROR(__xludf.DUMMYFUNCTION("""COMPUTED_VALUE"""),"*Won*First round (Heat) 3–0
*Won*conference semifinals (Knicks) 4–3
*Won*conference finals (Cavaliers) 4–2
*Won NBA Finals* (Trail Blazers) 4–2[40]")</f>
        <v>*Won*First round (Heat) 3–0
*Won*conference semifinals (Knicks) 4–3
*Won*conference finals (Cavaliers) 4–2
*Won NBA Finals* (Trail Blazers) 4–2[40]</v>
      </c>
      <c r="L27" s="1" t="str">
        <f>IFERROR(__xludf.DUMMYFUNCTION("""COMPUTED_VALUE"""),"Michael Jordan
(MVP, FMVP)[6]")</f>
        <v>Michael Jordan
(MVP, FMVP)[6]</v>
      </c>
      <c r="M27" s="1"/>
    </row>
    <row r="28">
      <c r="A28" s="1" t="str">
        <f>IFERROR(__xludf.DUMMYFUNCTION("""COMPUTED_VALUE"""),"*1992–93*")</f>
        <v>*1992–93*</v>
      </c>
      <c r="B28" s="1" t="str">
        <f>IFERROR(__xludf.DUMMYFUNCTION("""COMPUTED_VALUE"""),"*1992–93*")</f>
        <v>*1992–93*</v>
      </c>
      <c r="C28" s="1" t="str">
        <f>IFERROR(__xludf.DUMMYFUNCTION("""COMPUTED_VALUE"""),"*Eastern*")</f>
        <v>*Eastern*</v>
      </c>
      <c r="D28" s="1" t="str">
        <f>IFERROR(__xludf.DUMMYFUNCTION("""COMPUTED_VALUE"""),"2nd")</f>
        <v>2nd</v>
      </c>
      <c r="E28" s="1" t="str">
        <f>IFERROR(__xludf.DUMMYFUNCTION("""COMPUTED_VALUE"""),"*Central*")</f>
        <v>*Central*</v>
      </c>
      <c r="F28" s="1" t="str">
        <f>IFERROR(__xludf.DUMMYFUNCTION("""COMPUTED_VALUE"""),"*1st*")</f>
        <v>*1st*</v>
      </c>
      <c r="G28" s="1">
        <f>IFERROR(__xludf.DUMMYFUNCTION("""COMPUTED_VALUE"""),57.0)</f>
        <v>57</v>
      </c>
      <c r="H28" s="1">
        <f>IFERROR(__xludf.DUMMYFUNCTION("""COMPUTED_VALUE"""),25.0)</f>
        <v>25</v>
      </c>
      <c r="I28" s="1">
        <f>IFERROR(__xludf.DUMMYFUNCTION("""COMPUTED_VALUE"""),0.695)</f>
        <v>0.695</v>
      </c>
      <c r="J28" s="1" t="str">
        <f>IFERROR(__xludf.DUMMYFUNCTION("""COMPUTED_VALUE"""),"—")</f>
        <v>—</v>
      </c>
      <c r="K28" s="1" t="str">
        <f>IFERROR(__xludf.DUMMYFUNCTION("""COMPUTED_VALUE"""),"*Won*First round (Hawks) 3–0
*Won*conference semifinals (Cavaliers) 4–0
*Won*conference finals (Knicks) 4–2
*Won NBA Finals* (Suns) 4–2[41]")</f>
        <v>*Won*First round (Hawks) 3–0
*Won*conference semifinals (Cavaliers) 4–0
*Won*conference finals (Knicks) 4–2
*Won NBA Finals* (Suns) 4–2[41]</v>
      </c>
      <c r="L28" s="1" t="str">
        <f>IFERROR(__xludf.DUMMYFUNCTION("""COMPUTED_VALUE"""),"Michael Jordan
(FMVP)[6]")</f>
        <v>Michael Jordan
(FMVP)[6]</v>
      </c>
      <c r="M28" s="1"/>
    </row>
    <row r="29">
      <c r="A29" s="1" t="str">
        <f>IFERROR(__xludf.DUMMYFUNCTION("""COMPUTED_VALUE"""),"*1993–94*")</f>
        <v>*1993–94*</v>
      </c>
      <c r="B29" s="1" t="str">
        <f>IFERROR(__xludf.DUMMYFUNCTION("""COMPUTED_VALUE"""),"1993–94")</f>
        <v>1993–94</v>
      </c>
      <c r="C29" s="1" t="str">
        <f>IFERROR(__xludf.DUMMYFUNCTION("""COMPUTED_VALUE"""),"Eastern")</f>
        <v>Eastern</v>
      </c>
      <c r="D29" s="1" t="str">
        <f>IFERROR(__xludf.DUMMYFUNCTION("""COMPUTED_VALUE"""),"3rd")</f>
        <v>3rd</v>
      </c>
      <c r="E29" s="1" t="str">
        <f>IFERROR(__xludf.DUMMYFUNCTION("""COMPUTED_VALUE"""),"Central")</f>
        <v>Central</v>
      </c>
      <c r="F29" s="1" t="str">
        <f>IFERROR(__xludf.DUMMYFUNCTION("""COMPUTED_VALUE"""),"2nd")</f>
        <v>2nd</v>
      </c>
      <c r="G29" s="1">
        <f>IFERROR(__xludf.DUMMYFUNCTION("""COMPUTED_VALUE"""),55.0)</f>
        <v>55</v>
      </c>
      <c r="H29" s="1">
        <f>IFERROR(__xludf.DUMMYFUNCTION("""COMPUTED_VALUE"""),27.0)</f>
        <v>27</v>
      </c>
      <c r="I29" s="1">
        <f>IFERROR(__xludf.DUMMYFUNCTION("""COMPUTED_VALUE"""),0.671)</f>
        <v>0.671</v>
      </c>
      <c r="J29" s="1">
        <f>IFERROR(__xludf.DUMMYFUNCTION("""COMPUTED_VALUE"""),2.0)</f>
        <v>2</v>
      </c>
      <c r="K29" s="1" t="str">
        <f>IFERROR(__xludf.DUMMYFUNCTION("""COMPUTED_VALUE"""),"*Won*First round (Cavaliers) 3–0
Lost conference semifinals (Knicks) 4–3[42]")</f>
        <v>*Won*First round (Cavaliers) 3–0
Lost conference semifinals (Knicks) 4–3[42]</v>
      </c>
      <c r="L29" s="1" t="str">
        <f>IFERROR(__xludf.DUMMYFUNCTION("""COMPUTED_VALUE"""),"Scottie Pippen
(ASG MVP)[6]")</f>
        <v>Scottie Pippen
(ASG MVP)[6]</v>
      </c>
      <c r="M29" s="1"/>
    </row>
    <row r="30">
      <c r="A30" s="1" t="str">
        <f>IFERROR(__xludf.DUMMYFUNCTION("""COMPUTED_VALUE"""),"*1994–95*")</f>
        <v>*1994–95*</v>
      </c>
      <c r="B30" s="1" t="str">
        <f>IFERROR(__xludf.DUMMYFUNCTION("""COMPUTED_VALUE"""),"1994–95")</f>
        <v>1994–95</v>
      </c>
      <c r="C30" s="1" t="str">
        <f>IFERROR(__xludf.DUMMYFUNCTION("""COMPUTED_VALUE"""),"Eastern")</f>
        <v>Eastern</v>
      </c>
      <c r="D30" s="1" t="str">
        <f>IFERROR(__xludf.DUMMYFUNCTION("""COMPUTED_VALUE"""),"5th")</f>
        <v>5th</v>
      </c>
      <c r="E30" s="1" t="str">
        <f>IFERROR(__xludf.DUMMYFUNCTION("""COMPUTED_VALUE"""),"Central")</f>
        <v>Central</v>
      </c>
      <c r="F30" s="1" t="str">
        <f>IFERROR(__xludf.DUMMYFUNCTION("""COMPUTED_VALUE"""),"3rd")</f>
        <v>3rd</v>
      </c>
      <c r="G30" s="1">
        <f>IFERROR(__xludf.DUMMYFUNCTION("""COMPUTED_VALUE"""),47.0)</f>
        <v>47</v>
      </c>
      <c r="H30" s="1">
        <f>IFERROR(__xludf.DUMMYFUNCTION("""COMPUTED_VALUE"""),35.0)</f>
        <v>35</v>
      </c>
      <c r="I30" s="1">
        <f>IFERROR(__xludf.DUMMYFUNCTION("""COMPUTED_VALUE"""),0.573)</f>
        <v>0.573</v>
      </c>
      <c r="J30" s="1">
        <f>IFERROR(__xludf.DUMMYFUNCTION("""COMPUTED_VALUE"""),5.0)</f>
        <v>5</v>
      </c>
      <c r="K30" s="1" t="str">
        <f>IFERROR(__xludf.DUMMYFUNCTION("""COMPUTED_VALUE"""),"*Won*First round (Hornets) 3–1
Lost conference semifinals (Magic) 4–2[43]")</f>
        <v>*Won*First round (Hornets) 3–1
Lost conference semifinals (Magic) 4–2[43]</v>
      </c>
      <c r="L30" s="1" t="str">
        <f>IFERROR(__xludf.DUMMYFUNCTION("""COMPUTED_VALUE"""),"—")</f>
        <v>—</v>
      </c>
      <c r="M30" s="1"/>
    </row>
    <row r="31">
      <c r="A31" s="1" t="str">
        <f>IFERROR(__xludf.DUMMYFUNCTION("""COMPUTED_VALUE"""),"*1995–96*")</f>
        <v>*1995–96*</v>
      </c>
      <c r="B31" s="1" t="str">
        <f>IFERROR(__xludf.DUMMYFUNCTION("""COMPUTED_VALUE"""),"*1995–96*")</f>
        <v>*1995–96*</v>
      </c>
      <c r="C31" s="1" t="str">
        <f>IFERROR(__xludf.DUMMYFUNCTION("""COMPUTED_VALUE"""),"*Eastern*")</f>
        <v>*Eastern*</v>
      </c>
      <c r="D31" s="1" t="str">
        <f>IFERROR(__xludf.DUMMYFUNCTION("""COMPUTED_VALUE"""),"1st")</f>
        <v>1st</v>
      </c>
      <c r="E31" s="1" t="str">
        <f>IFERROR(__xludf.DUMMYFUNCTION("""COMPUTED_VALUE"""),"*Central*")</f>
        <v>*Central*</v>
      </c>
      <c r="F31" s="1" t="str">
        <f>IFERROR(__xludf.DUMMYFUNCTION("""COMPUTED_VALUE"""),"*1st*")</f>
        <v>*1st*</v>
      </c>
      <c r="G31" s="1">
        <f>IFERROR(__xludf.DUMMYFUNCTION("""COMPUTED_VALUE"""),72.0)</f>
        <v>72</v>
      </c>
      <c r="H31" s="1">
        <f>IFERROR(__xludf.DUMMYFUNCTION("""COMPUTED_VALUE"""),10.0)</f>
        <v>10</v>
      </c>
      <c r="I31" s="1">
        <f>IFERROR(__xludf.DUMMYFUNCTION("""COMPUTED_VALUE"""),0.878)</f>
        <v>0.878</v>
      </c>
      <c r="J31" s="1" t="str">
        <f>IFERROR(__xludf.DUMMYFUNCTION("""COMPUTED_VALUE"""),"—")</f>
        <v>—</v>
      </c>
      <c r="K31" s="1" t="str">
        <f>IFERROR(__xludf.DUMMYFUNCTION("""COMPUTED_VALUE"""),"*Won*First round (Heat) 3–0
*Won*conference semifinals (Knicks) 4–1
*Won*conference finals (Magic) 4–0
*Won NBA Finals* (SuperSonics) 4–2[44]")</f>
        <v>*Won*First round (Heat) 3–0
*Won*conference semifinals (Knicks) 4–1
*Won*conference finals (Magic) 4–0
*Won NBA Finals* (SuperSonics) 4–2[44]</v>
      </c>
      <c r="L31" s="1" t="str">
        <f>IFERROR(__xludf.DUMMYFUNCTION("""COMPUTED_VALUE"""),"Michael Jordan
(MVP, FMVP, ASG MVP)
Phil Jackson(COY)
Jerry Krause(EOY)
Toni Kukoč(SIX)
[6][45]")</f>
        <v>Michael Jordan
(MVP, FMVP, ASG MVP)
Phil Jackson(COY)
Jerry Krause(EOY)
Toni Kukoč(SIX)
[6][45]</v>
      </c>
      <c r="M31" s="1"/>
    </row>
    <row r="32">
      <c r="A32" s="1" t="str">
        <f>IFERROR(__xludf.DUMMYFUNCTION("""COMPUTED_VALUE"""),"*1996–97*")</f>
        <v>*1996–97*</v>
      </c>
      <c r="B32" s="1" t="str">
        <f>IFERROR(__xludf.DUMMYFUNCTION("""COMPUTED_VALUE"""),"*1996–97*")</f>
        <v>*1996–97*</v>
      </c>
      <c r="C32" s="1" t="str">
        <f>IFERROR(__xludf.DUMMYFUNCTION("""COMPUTED_VALUE"""),"*Eastern*")</f>
        <v>*Eastern*</v>
      </c>
      <c r="D32" s="1" t="str">
        <f>IFERROR(__xludf.DUMMYFUNCTION("""COMPUTED_VALUE"""),"1st")</f>
        <v>1st</v>
      </c>
      <c r="E32" s="1" t="str">
        <f>IFERROR(__xludf.DUMMYFUNCTION("""COMPUTED_VALUE"""),"*Central*")</f>
        <v>*Central*</v>
      </c>
      <c r="F32" s="1" t="str">
        <f>IFERROR(__xludf.DUMMYFUNCTION("""COMPUTED_VALUE"""),"*1st*")</f>
        <v>*1st*</v>
      </c>
      <c r="G32" s="1">
        <f>IFERROR(__xludf.DUMMYFUNCTION("""COMPUTED_VALUE"""),69.0)</f>
        <v>69</v>
      </c>
      <c r="H32" s="1">
        <f>IFERROR(__xludf.DUMMYFUNCTION("""COMPUTED_VALUE"""),13.0)</f>
        <v>13</v>
      </c>
      <c r="I32" s="1">
        <f>IFERROR(__xludf.DUMMYFUNCTION("""COMPUTED_VALUE"""),0.841)</f>
        <v>0.841</v>
      </c>
      <c r="J32" s="1" t="str">
        <f>IFERROR(__xludf.DUMMYFUNCTION("""COMPUTED_VALUE"""),"—")</f>
        <v>—</v>
      </c>
      <c r="K32" s="1" t="str">
        <f>IFERROR(__xludf.DUMMYFUNCTION("""COMPUTED_VALUE"""),"*Won*First round (Bullets) 3–0
*Won*conference semifinals (Hawks) 4–1
*Won*conference finals (Heat) 4–1
*Won NBA Finals* (Jazz) 4–2[46]")</f>
        <v>*Won*First round (Bullets) 3–0
*Won*conference semifinals (Hawks) 4–1
*Won*conference finals (Heat) 4–1
*Won NBA Finals* (Jazz) 4–2[46]</v>
      </c>
      <c r="L32" s="1" t="str">
        <f>IFERROR(__xludf.DUMMYFUNCTION("""COMPUTED_VALUE"""),"Michael Jordan
(FMVP)[6]")</f>
        <v>Michael Jordan
(FMVP)[6]</v>
      </c>
      <c r="M32" s="1"/>
    </row>
    <row r="33">
      <c r="A33" s="1" t="str">
        <f>IFERROR(__xludf.DUMMYFUNCTION("""COMPUTED_VALUE"""),"*1997–98*")</f>
        <v>*1997–98*</v>
      </c>
      <c r="B33" s="1" t="str">
        <f>IFERROR(__xludf.DUMMYFUNCTION("""COMPUTED_VALUE"""),"*1997–98*")</f>
        <v>*1997–98*</v>
      </c>
      <c r="C33" s="1" t="str">
        <f>IFERROR(__xludf.DUMMYFUNCTION("""COMPUTED_VALUE"""),"*Eastern*")</f>
        <v>*Eastern*</v>
      </c>
      <c r="D33" s="1" t="str">
        <f>IFERROR(__xludf.DUMMYFUNCTION("""COMPUTED_VALUE"""),"1st")</f>
        <v>1st</v>
      </c>
      <c r="E33" s="1" t="str">
        <f>IFERROR(__xludf.DUMMYFUNCTION("""COMPUTED_VALUE"""),"*Central*")</f>
        <v>*Central*</v>
      </c>
      <c r="F33" s="1" t="str">
        <f>IFERROR(__xludf.DUMMYFUNCTION("""COMPUTED_VALUE"""),"*1st*")</f>
        <v>*1st*</v>
      </c>
      <c r="G33" s="1">
        <f>IFERROR(__xludf.DUMMYFUNCTION("""COMPUTED_VALUE"""),62.0)</f>
        <v>62</v>
      </c>
      <c r="H33" s="1">
        <f>IFERROR(__xludf.DUMMYFUNCTION("""COMPUTED_VALUE"""),20.0)</f>
        <v>20</v>
      </c>
      <c r="I33" s="1">
        <f>IFERROR(__xludf.DUMMYFUNCTION("""COMPUTED_VALUE"""),0.756)</f>
        <v>0.756</v>
      </c>
      <c r="J33" s="1" t="str">
        <f>IFERROR(__xludf.DUMMYFUNCTION("""COMPUTED_VALUE"""),"—")</f>
        <v>—</v>
      </c>
      <c r="K33" s="1" t="str">
        <f>IFERROR(__xludf.DUMMYFUNCTION("""COMPUTED_VALUE"""),"*Won*First round (Nets) 3–0
*Won*conference semifinals (Hornets) 4–1
*Won*conference finals (Pacers) 4–3
*Won NBA Finals* (Jazz) 4–2[47]")</f>
        <v>*Won*First round (Nets) 3–0
*Won*conference semifinals (Hornets) 4–1
*Won*conference finals (Pacers) 4–3
*Won NBA Finals* (Jazz) 4–2[47]</v>
      </c>
      <c r="L33" s="1" t="str">
        <f>IFERROR(__xludf.DUMMYFUNCTION("""COMPUTED_VALUE"""),"Michael Jordan
(MVP, FMVP, ASG MVP)[6]")</f>
        <v>Michael Jordan
(MVP, FMVP, ASG MVP)[6]</v>
      </c>
      <c r="M33" s="1"/>
    </row>
    <row r="34">
      <c r="A34" s="1" t="str">
        <f>IFERROR(__xludf.DUMMYFUNCTION("""COMPUTED_VALUE"""),"*1998–99*")</f>
        <v>*1998–99*</v>
      </c>
      <c r="B34" s="1" t="str">
        <f>IFERROR(__xludf.DUMMYFUNCTION("""COMPUTED_VALUE"""),"1998–99[i]")</f>
        <v>1998–99[i]</v>
      </c>
      <c r="C34" s="1" t="str">
        <f>IFERROR(__xludf.DUMMYFUNCTION("""COMPUTED_VALUE"""),"Eastern")</f>
        <v>Eastern</v>
      </c>
      <c r="D34" s="1" t="str">
        <f>IFERROR(__xludf.DUMMYFUNCTION("""COMPUTED_VALUE"""),"15th")</f>
        <v>15th</v>
      </c>
      <c r="E34" s="1" t="str">
        <f>IFERROR(__xludf.DUMMYFUNCTION("""COMPUTED_VALUE"""),"Central")</f>
        <v>Central</v>
      </c>
      <c r="F34" s="1" t="str">
        <f>IFERROR(__xludf.DUMMYFUNCTION("""COMPUTED_VALUE"""),"8th")</f>
        <v>8th</v>
      </c>
      <c r="G34" s="1">
        <f>IFERROR(__xludf.DUMMYFUNCTION("""COMPUTED_VALUE"""),13.0)</f>
        <v>13</v>
      </c>
      <c r="H34" s="1">
        <f>IFERROR(__xludf.DUMMYFUNCTION("""COMPUTED_VALUE"""),37.0)</f>
        <v>37</v>
      </c>
      <c r="I34" s="1">
        <f>IFERROR(__xludf.DUMMYFUNCTION("""COMPUTED_VALUE"""),0.26)</f>
        <v>0.26</v>
      </c>
      <c r="J34" s="1">
        <f>IFERROR(__xludf.DUMMYFUNCTION("""COMPUTED_VALUE"""),20.0)</f>
        <v>20</v>
      </c>
      <c r="K34" s="1"/>
      <c r="L34" s="1" t="str">
        <f>IFERROR(__xludf.DUMMYFUNCTION("""COMPUTED_VALUE"""),"—")</f>
        <v>—</v>
      </c>
      <c r="M34" s="1" t="str">
        <f>IFERROR(__xludf.DUMMYFUNCTION("""COMPUTED_VALUE"""),"Tim Floyd")</f>
        <v>Tim Floyd</v>
      </c>
    </row>
    <row r="35">
      <c r="A35" s="1" t="str">
        <f>IFERROR(__xludf.DUMMYFUNCTION("""COMPUTED_VALUE"""),"*1999–2000*")</f>
        <v>*1999–2000*</v>
      </c>
      <c r="B35" s="1" t="str">
        <f>IFERROR(__xludf.DUMMYFUNCTION("""COMPUTED_VALUE"""),"1999–2000")</f>
        <v>1999–2000</v>
      </c>
      <c r="C35" s="1" t="str">
        <f>IFERROR(__xludf.DUMMYFUNCTION("""COMPUTED_VALUE"""),"Eastern")</f>
        <v>Eastern</v>
      </c>
      <c r="D35" s="1" t="str">
        <f>IFERROR(__xludf.DUMMYFUNCTION("""COMPUTED_VALUE"""),"15th")</f>
        <v>15th</v>
      </c>
      <c r="E35" s="1" t="str">
        <f>IFERROR(__xludf.DUMMYFUNCTION("""COMPUTED_VALUE"""),"Central")</f>
        <v>Central</v>
      </c>
      <c r="F35" s="1" t="str">
        <f>IFERROR(__xludf.DUMMYFUNCTION("""COMPUTED_VALUE"""),"8th")</f>
        <v>8th</v>
      </c>
      <c r="G35" s="1">
        <f>IFERROR(__xludf.DUMMYFUNCTION("""COMPUTED_VALUE"""),17.0)</f>
        <v>17</v>
      </c>
      <c r="H35" s="1">
        <f>IFERROR(__xludf.DUMMYFUNCTION("""COMPUTED_VALUE"""),65.0)</f>
        <v>65</v>
      </c>
      <c r="I35" s="1">
        <f>IFERROR(__xludf.DUMMYFUNCTION("""COMPUTED_VALUE"""),0.207)</f>
        <v>0.207</v>
      </c>
      <c r="J35" s="1">
        <f>IFERROR(__xludf.DUMMYFUNCTION("""COMPUTED_VALUE"""),39.0)</f>
        <v>39</v>
      </c>
      <c r="K35" s="1"/>
      <c r="L35" s="1" t="str">
        <f>IFERROR(__xludf.DUMMYFUNCTION("""COMPUTED_VALUE"""),"Elton Brand[j](ROY)[6]")</f>
        <v>Elton Brand[j](ROY)[6]</v>
      </c>
      <c r="M35" s="1"/>
    </row>
    <row r="36">
      <c r="A36" s="1" t="str">
        <f>IFERROR(__xludf.DUMMYFUNCTION("""COMPUTED_VALUE"""),"*2000–01*")</f>
        <v>*2000–01*</v>
      </c>
      <c r="B36" s="1" t="str">
        <f>IFERROR(__xludf.DUMMYFUNCTION("""COMPUTED_VALUE"""),"2000–01")</f>
        <v>2000–01</v>
      </c>
      <c r="C36" s="1" t="str">
        <f>IFERROR(__xludf.DUMMYFUNCTION("""COMPUTED_VALUE"""),"Eastern")</f>
        <v>Eastern</v>
      </c>
      <c r="D36" s="1" t="str">
        <f>IFERROR(__xludf.DUMMYFUNCTION("""COMPUTED_VALUE"""),"15th")</f>
        <v>15th</v>
      </c>
      <c r="E36" s="1" t="str">
        <f>IFERROR(__xludf.DUMMYFUNCTION("""COMPUTED_VALUE"""),"Central")</f>
        <v>Central</v>
      </c>
      <c r="F36" s="1" t="str">
        <f>IFERROR(__xludf.DUMMYFUNCTION("""COMPUTED_VALUE"""),"8th")</f>
        <v>8th</v>
      </c>
      <c r="G36" s="1">
        <f>IFERROR(__xludf.DUMMYFUNCTION("""COMPUTED_VALUE"""),15.0)</f>
        <v>15</v>
      </c>
      <c r="H36" s="1">
        <f>IFERROR(__xludf.DUMMYFUNCTION("""COMPUTED_VALUE"""),67.0)</f>
        <v>67</v>
      </c>
      <c r="I36" s="1">
        <f>IFERROR(__xludf.DUMMYFUNCTION("""COMPUTED_VALUE"""),0.183)</f>
        <v>0.183</v>
      </c>
      <c r="J36" s="1">
        <f>IFERROR(__xludf.DUMMYFUNCTION("""COMPUTED_VALUE"""),37.0)</f>
        <v>37</v>
      </c>
      <c r="K36" s="1"/>
      <c r="L36" s="1" t="str">
        <f>IFERROR(__xludf.DUMMYFUNCTION("""COMPUTED_VALUE"""),"—")</f>
        <v>—</v>
      </c>
      <c r="M36" s="1"/>
    </row>
    <row r="37">
      <c r="A37" s="1" t="str">
        <f>IFERROR(__xludf.DUMMYFUNCTION("""COMPUTED_VALUE"""),"*2001–02*")</f>
        <v>*2001–02*</v>
      </c>
      <c r="B37" s="1" t="str">
        <f>IFERROR(__xludf.DUMMYFUNCTION("""COMPUTED_VALUE"""),"2001–02")</f>
        <v>2001–02</v>
      </c>
      <c r="C37" s="1" t="str">
        <f>IFERROR(__xludf.DUMMYFUNCTION("""COMPUTED_VALUE"""),"Eastern")</f>
        <v>Eastern</v>
      </c>
      <c r="D37" s="1" t="str">
        <f>IFERROR(__xludf.DUMMYFUNCTION("""COMPUTED_VALUE"""),"15th")</f>
        <v>15th</v>
      </c>
      <c r="E37" s="1" t="str">
        <f>IFERROR(__xludf.DUMMYFUNCTION("""COMPUTED_VALUE"""),"Central")</f>
        <v>Central</v>
      </c>
      <c r="F37" s="1" t="str">
        <f>IFERROR(__xludf.DUMMYFUNCTION("""COMPUTED_VALUE"""),"8th")</f>
        <v>8th</v>
      </c>
      <c r="G37" s="1">
        <f>IFERROR(__xludf.DUMMYFUNCTION("""COMPUTED_VALUE"""),21.0)</f>
        <v>21</v>
      </c>
      <c r="H37" s="1">
        <f>IFERROR(__xludf.DUMMYFUNCTION("""COMPUTED_VALUE"""),61.0)</f>
        <v>61</v>
      </c>
      <c r="I37" s="1">
        <f>IFERROR(__xludf.DUMMYFUNCTION("""COMPUTED_VALUE"""),0.256)</f>
        <v>0.256</v>
      </c>
      <c r="J37" s="1">
        <f>IFERROR(__xludf.DUMMYFUNCTION("""COMPUTED_VALUE"""),29.0)</f>
        <v>29</v>
      </c>
      <c r="K37" s="1"/>
      <c r="L37" s="1" t="str">
        <f>IFERROR(__xludf.DUMMYFUNCTION("""COMPUTED_VALUE"""),"—")</f>
        <v>—</v>
      </c>
      <c r="M37" s="1" t="str">
        <f>IFERROR(__xludf.DUMMYFUNCTION("""COMPUTED_VALUE"""),"Tim Floyd 
Bill Berry
Bill Cartwright")</f>
        <v>Tim Floyd 
Bill Berry
Bill Cartwright</v>
      </c>
    </row>
    <row r="38">
      <c r="A38" s="1" t="str">
        <f>IFERROR(__xludf.DUMMYFUNCTION("""COMPUTED_VALUE"""),"*2002–03*")</f>
        <v>*2002–03*</v>
      </c>
      <c r="B38" s="1" t="str">
        <f>IFERROR(__xludf.DUMMYFUNCTION("""COMPUTED_VALUE"""),"2002–03")</f>
        <v>2002–03</v>
      </c>
      <c r="C38" s="1" t="str">
        <f>IFERROR(__xludf.DUMMYFUNCTION("""COMPUTED_VALUE"""),"Eastern")</f>
        <v>Eastern</v>
      </c>
      <c r="D38" s="1" t="str">
        <f>IFERROR(__xludf.DUMMYFUNCTION("""COMPUTED_VALUE"""),"12th")</f>
        <v>12th</v>
      </c>
      <c r="E38" s="1" t="str">
        <f>IFERROR(__xludf.DUMMYFUNCTION("""COMPUTED_VALUE"""),"Central")</f>
        <v>Central</v>
      </c>
      <c r="F38" s="1" t="str">
        <f>IFERROR(__xludf.DUMMYFUNCTION("""COMPUTED_VALUE"""),"6th")</f>
        <v>6th</v>
      </c>
      <c r="G38" s="1">
        <f>IFERROR(__xludf.DUMMYFUNCTION("""COMPUTED_VALUE"""),30.0)</f>
        <v>30</v>
      </c>
      <c r="H38" s="1">
        <f>IFERROR(__xludf.DUMMYFUNCTION("""COMPUTED_VALUE"""),52.0)</f>
        <v>52</v>
      </c>
      <c r="I38" s="1">
        <f>IFERROR(__xludf.DUMMYFUNCTION("""COMPUTED_VALUE"""),0.366)</f>
        <v>0.366</v>
      </c>
      <c r="J38" s="1">
        <f>IFERROR(__xludf.DUMMYFUNCTION("""COMPUTED_VALUE"""),20.0)</f>
        <v>20</v>
      </c>
      <c r="K38" s="1"/>
      <c r="L38" s="1" t="str">
        <f>IFERROR(__xludf.DUMMYFUNCTION("""COMPUTED_VALUE"""),"—")</f>
        <v>—</v>
      </c>
      <c r="M38" s="1" t="str">
        <f>IFERROR(__xludf.DUMMYFUNCTION("""COMPUTED_VALUE"""),"Bill Cartwright")</f>
        <v>Bill Cartwright</v>
      </c>
    </row>
    <row r="39">
      <c r="A39" s="1" t="str">
        <f>IFERROR(__xludf.DUMMYFUNCTION("""COMPUTED_VALUE"""),"*2003–04*")</f>
        <v>*2003–04*</v>
      </c>
      <c r="B39" s="1" t="str">
        <f>IFERROR(__xludf.DUMMYFUNCTION("""COMPUTED_VALUE"""),"2003–04")</f>
        <v>2003–04</v>
      </c>
      <c r="C39" s="1" t="str">
        <f>IFERROR(__xludf.DUMMYFUNCTION("""COMPUTED_VALUE"""),"Eastern")</f>
        <v>Eastern</v>
      </c>
      <c r="D39" s="1" t="str">
        <f>IFERROR(__xludf.DUMMYFUNCTION("""COMPUTED_VALUE"""),"14th")</f>
        <v>14th</v>
      </c>
      <c r="E39" s="1" t="str">
        <f>IFERROR(__xludf.DUMMYFUNCTION("""COMPUTED_VALUE"""),"Central")</f>
        <v>Central</v>
      </c>
      <c r="F39" s="1" t="str">
        <f>IFERROR(__xludf.DUMMYFUNCTION("""COMPUTED_VALUE"""),"8th")</f>
        <v>8th</v>
      </c>
      <c r="G39" s="1">
        <f>IFERROR(__xludf.DUMMYFUNCTION("""COMPUTED_VALUE"""),23.0)</f>
        <v>23</v>
      </c>
      <c r="H39" s="1">
        <f>IFERROR(__xludf.DUMMYFUNCTION("""COMPUTED_VALUE"""),59.0)</f>
        <v>59</v>
      </c>
      <c r="I39" s="1">
        <f>IFERROR(__xludf.DUMMYFUNCTION("""COMPUTED_VALUE"""),0.28)</f>
        <v>0.28</v>
      </c>
      <c r="J39" s="1">
        <f>IFERROR(__xludf.DUMMYFUNCTION("""COMPUTED_VALUE"""),38.0)</f>
        <v>38</v>
      </c>
      <c r="K39" s="1"/>
      <c r="L39" s="1" t="str">
        <f>IFERROR(__xludf.DUMMYFUNCTION("""COMPUTED_VALUE"""),"—")</f>
        <v>—</v>
      </c>
      <c r="M39" s="1" t="str">
        <f>IFERROR(__xludf.DUMMYFUNCTION("""COMPUTED_VALUE"""),"Bill Cartwright 
Pete Myers
Scott Skiles")</f>
        <v>Bill Cartwright 
Pete Myers
Scott Skiles</v>
      </c>
    </row>
    <row r="40">
      <c r="A40" s="1" t="str">
        <f>IFERROR(__xludf.DUMMYFUNCTION("""COMPUTED_VALUE"""),"*2004–05*")</f>
        <v>*2004–05*</v>
      </c>
      <c r="B40" s="1" t="str">
        <f>IFERROR(__xludf.DUMMYFUNCTION("""COMPUTED_VALUE"""),"2004–05")</f>
        <v>2004–05</v>
      </c>
      <c r="C40" s="1" t="str">
        <f>IFERROR(__xludf.DUMMYFUNCTION("""COMPUTED_VALUE"""),"Eastern")</f>
        <v>Eastern</v>
      </c>
      <c r="D40" s="1" t="str">
        <f>IFERROR(__xludf.DUMMYFUNCTION("""COMPUTED_VALUE"""),"4th")</f>
        <v>4th</v>
      </c>
      <c r="E40" s="1" t="str">
        <f>IFERROR(__xludf.DUMMYFUNCTION("""COMPUTED_VALUE"""),"Central")</f>
        <v>Central</v>
      </c>
      <c r="F40" s="1" t="str">
        <f>IFERROR(__xludf.DUMMYFUNCTION("""COMPUTED_VALUE"""),"2nd")</f>
        <v>2nd</v>
      </c>
      <c r="G40" s="1">
        <f>IFERROR(__xludf.DUMMYFUNCTION("""COMPUTED_VALUE"""),47.0)</f>
        <v>47</v>
      </c>
      <c r="H40" s="1">
        <f>IFERROR(__xludf.DUMMYFUNCTION("""COMPUTED_VALUE"""),35.0)</f>
        <v>35</v>
      </c>
      <c r="I40" s="1">
        <f>IFERROR(__xludf.DUMMYFUNCTION("""COMPUTED_VALUE"""),0.573)</f>
        <v>0.573</v>
      </c>
      <c r="J40" s="1">
        <f>IFERROR(__xludf.DUMMYFUNCTION("""COMPUTED_VALUE"""),7.0)</f>
        <v>7</v>
      </c>
      <c r="K40" s="1" t="str">
        <f>IFERROR(__xludf.DUMMYFUNCTION("""COMPUTED_VALUE"""),"Lost First round (Wizards) 4–2[49]")</f>
        <v>Lost First round (Wizards) 4–2[49]</v>
      </c>
      <c r="L40" s="1" t="str">
        <f>IFERROR(__xludf.DUMMYFUNCTION("""COMPUTED_VALUE"""),"Ben Gordon(SIX)[6]")</f>
        <v>Ben Gordon(SIX)[6]</v>
      </c>
      <c r="M40" s="1" t="str">
        <f>IFERROR(__xludf.DUMMYFUNCTION("""COMPUTED_VALUE"""),"Scott Skiles")</f>
        <v>Scott Skiles</v>
      </c>
    </row>
    <row r="41">
      <c r="A41" s="1" t="str">
        <f>IFERROR(__xludf.DUMMYFUNCTION("""COMPUTED_VALUE"""),"*2005–06*")</f>
        <v>*2005–06*</v>
      </c>
      <c r="B41" s="1" t="str">
        <f>IFERROR(__xludf.DUMMYFUNCTION("""COMPUTED_VALUE"""),"2005–06")</f>
        <v>2005–06</v>
      </c>
      <c r="C41" s="1" t="str">
        <f>IFERROR(__xludf.DUMMYFUNCTION("""COMPUTED_VALUE"""),"Eastern")</f>
        <v>Eastern</v>
      </c>
      <c r="D41" s="1" t="str">
        <f>IFERROR(__xludf.DUMMYFUNCTION("""COMPUTED_VALUE"""),"7th")</f>
        <v>7th</v>
      </c>
      <c r="E41" s="1" t="str">
        <f>IFERROR(__xludf.DUMMYFUNCTION("""COMPUTED_VALUE"""),"Central")</f>
        <v>Central</v>
      </c>
      <c r="F41" s="1" t="str">
        <f>IFERROR(__xludf.DUMMYFUNCTION("""COMPUTED_VALUE"""),"4th[k]")</f>
        <v>4th[k]</v>
      </c>
      <c r="G41" s="1">
        <f>IFERROR(__xludf.DUMMYFUNCTION("""COMPUTED_VALUE"""),41.0)</f>
        <v>41</v>
      </c>
      <c r="H41" s="1">
        <f>IFERROR(__xludf.DUMMYFUNCTION("""COMPUTED_VALUE"""),41.0)</f>
        <v>41</v>
      </c>
      <c r="I41" s="1">
        <f>IFERROR(__xludf.DUMMYFUNCTION("""COMPUTED_VALUE"""),0.5)</f>
        <v>0.5</v>
      </c>
      <c r="J41" s="1">
        <f>IFERROR(__xludf.DUMMYFUNCTION("""COMPUTED_VALUE"""),23.0)</f>
        <v>23</v>
      </c>
      <c r="K41" s="1" t="str">
        <f>IFERROR(__xludf.DUMMYFUNCTION("""COMPUTED_VALUE"""),"Lost First round (Heat) 4–2[51]")</f>
        <v>Lost First round (Heat) 4–2[51]</v>
      </c>
      <c r="L41" s="1" t="str">
        <f>IFERROR(__xludf.DUMMYFUNCTION("""COMPUTED_VALUE"""),"—")</f>
        <v>—</v>
      </c>
      <c r="M41" s="1"/>
    </row>
    <row r="42">
      <c r="A42" s="1" t="str">
        <f>IFERROR(__xludf.DUMMYFUNCTION("""COMPUTED_VALUE"""),"*2006–07*")</f>
        <v>*2006–07*</v>
      </c>
      <c r="B42" s="1" t="str">
        <f>IFERROR(__xludf.DUMMYFUNCTION("""COMPUTED_VALUE"""),"2006–07")</f>
        <v>2006–07</v>
      </c>
      <c r="C42" s="1" t="str">
        <f>IFERROR(__xludf.DUMMYFUNCTION("""COMPUTED_VALUE"""),"Eastern")</f>
        <v>Eastern</v>
      </c>
      <c r="D42" s="1" t="str">
        <f>IFERROR(__xludf.DUMMYFUNCTION("""COMPUTED_VALUE"""),"5th")</f>
        <v>5th</v>
      </c>
      <c r="E42" s="1" t="str">
        <f>IFERROR(__xludf.DUMMYFUNCTION("""COMPUTED_VALUE"""),"Central")</f>
        <v>Central</v>
      </c>
      <c r="F42" s="1" t="str">
        <f>IFERROR(__xludf.DUMMYFUNCTION("""COMPUTED_VALUE"""),"3rd")</f>
        <v>3rd</v>
      </c>
      <c r="G42" s="1">
        <f>IFERROR(__xludf.DUMMYFUNCTION("""COMPUTED_VALUE"""),49.0)</f>
        <v>49</v>
      </c>
      <c r="H42" s="1">
        <f>IFERROR(__xludf.DUMMYFUNCTION("""COMPUTED_VALUE"""),33.0)</f>
        <v>33</v>
      </c>
      <c r="I42" s="1">
        <f>IFERROR(__xludf.DUMMYFUNCTION("""COMPUTED_VALUE"""),0.598)</f>
        <v>0.598</v>
      </c>
      <c r="J42" s="1">
        <f>IFERROR(__xludf.DUMMYFUNCTION("""COMPUTED_VALUE"""),4.0)</f>
        <v>4</v>
      </c>
      <c r="K42" s="1" t="str">
        <f>IFERROR(__xludf.DUMMYFUNCTION("""COMPUTED_VALUE"""),"*Won*First round (Heat) 4–0
Lost conference semifinals (Pistons) 4–2[52]")</f>
        <v>*Won*First round (Heat) 4–0
Lost conference semifinals (Pistons) 4–2[52]</v>
      </c>
      <c r="L42" s="1" t="str">
        <f>IFERROR(__xludf.DUMMYFUNCTION("""COMPUTED_VALUE"""),"Luol Deng(SPOR)[6]")</f>
        <v>Luol Deng(SPOR)[6]</v>
      </c>
      <c r="M42" s="1"/>
    </row>
    <row r="43">
      <c r="A43" s="1" t="str">
        <f>IFERROR(__xludf.DUMMYFUNCTION("""COMPUTED_VALUE"""),"*2007–08*")</f>
        <v>*2007–08*</v>
      </c>
      <c r="B43" s="1" t="str">
        <f>IFERROR(__xludf.DUMMYFUNCTION("""COMPUTED_VALUE"""),"2007–08")</f>
        <v>2007–08</v>
      </c>
      <c r="C43" s="1" t="str">
        <f>IFERROR(__xludf.DUMMYFUNCTION("""COMPUTED_VALUE"""),"Eastern")</f>
        <v>Eastern</v>
      </c>
      <c r="D43" s="1" t="str">
        <f>IFERROR(__xludf.DUMMYFUNCTION("""COMPUTED_VALUE"""),"11th")</f>
        <v>11th</v>
      </c>
      <c r="E43" s="1" t="str">
        <f>IFERROR(__xludf.DUMMYFUNCTION("""COMPUTED_VALUE"""),"Central")</f>
        <v>Central</v>
      </c>
      <c r="F43" s="1" t="str">
        <f>IFERROR(__xludf.DUMMYFUNCTION("""COMPUTED_VALUE"""),"4th")</f>
        <v>4th</v>
      </c>
      <c r="G43" s="1">
        <f>IFERROR(__xludf.DUMMYFUNCTION("""COMPUTED_VALUE"""),33.0)</f>
        <v>33</v>
      </c>
      <c r="H43" s="1">
        <f>IFERROR(__xludf.DUMMYFUNCTION("""COMPUTED_VALUE"""),49.0)</f>
        <v>49</v>
      </c>
      <c r="I43" s="1">
        <f>IFERROR(__xludf.DUMMYFUNCTION("""COMPUTED_VALUE"""),0.402)</f>
        <v>0.402</v>
      </c>
      <c r="J43" s="1">
        <f>IFERROR(__xludf.DUMMYFUNCTION("""COMPUTED_VALUE"""),26.0)</f>
        <v>26</v>
      </c>
      <c r="K43" s="1"/>
      <c r="L43" s="1" t="str">
        <f>IFERROR(__xludf.DUMMYFUNCTION("""COMPUTED_VALUE"""),"—")</f>
        <v>—</v>
      </c>
      <c r="M43" s="1" t="str">
        <f>IFERROR(__xludf.DUMMYFUNCTION("""COMPUTED_VALUE"""),"Scott Skiles 
Pete Myers 
Jim Boylan")</f>
        <v>Scott Skiles 
Pete Myers 
Jim Boylan</v>
      </c>
    </row>
    <row r="44">
      <c r="A44" s="1" t="str">
        <f>IFERROR(__xludf.DUMMYFUNCTION("""COMPUTED_VALUE"""),"*2008–09*")</f>
        <v>*2008–09*</v>
      </c>
      <c r="B44" s="1" t="str">
        <f>IFERROR(__xludf.DUMMYFUNCTION("""COMPUTED_VALUE"""),"2008–09")</f>
        <v>2008–09</v>
      </c>
      <c r="C44" s="1" t="str">
        <f>IFERROR(__xludf.DUMMYFUNCTION("""COMPUTED_VALUE"""),"Eastern")</f>
        <v>Eastern</v>
      </c>
      <c r="D44" s="1" t="str">
        <f>IFERROR(__xludf.DUMMYFUNCTION("""COMPUTED_VALUE"""),"7th")</f>
        <v>7th</v>
      </c>
      <c r="E44" s="1" t="str">
        <f>IFERROR(__xludf.DUMMYFUNCTION("""COMPUTED_VALUE"""),"Central")</f>
        <v>Central</v>
      </c>
      <c r="F44" s="1" t="str">
        <f>IFERROR(__xludf.DUMMYFUNCTION("""COMPUTED_VALUE"""),"2nd")</f>
        <v>2nd</v>
      </c>
      <c r="G44" s="1">
        <f>IFERROR(__xludf.DUMMYFUNCTION("""COMPUTED_VALUE"""),41.0)</f>
        <v>41</v>
      </c>
      <c r="H44" s="1">
        <f>IFERROR(__xludf.DUMMYFUNCTION("""COMPUTED_VALUE"""),41.0)</f>
        <v>41</v>
      </c>
      <c r="I44" s="1">
        <f>IFERROR(__xludf.DUMMYFUNCTION("""COMPUTED_VALUE"""),0.5)</f>
        <v>0.5</v>
      </c>
      <c r="J44" s="1">
        <f>IFERROR(__xludf.DUMMYFUNCTION("""COMPUTED_VALUE"""),25.0)</f>
        <v>25</v>
      </c>
      <c r="K44" s="1" t="str">
        <f>IFERROR(__xludf.DUMMYFUNCTION("""COMPUTED_VALUE"""),"Lost First round (Celtics) 4–3")</f>
        <v>Lost First round (Celtics) 4–3</v>
      </c>
      <c r="L44" s="1" t="str">
        <f>IFERROR(__xludf.DUMMYFUNCTION("""COMPUTED_VALUE"""),"Derrick Rose(ROY)[53]")</f>
        <v>Derrick Rose(ROY)[53]</v>
      </c>
      <c r="M44" s="1" t="str">
        <f>IFERROR(__xludf.DUMMYFUNCTION("""COMPUTED_VALUE"""),"Vinny Del Negro")</f>
        <v>Vinny Del Negro</v>
      </c>
    </row>
    <row r="45">
      <c r="A45" s="1" t="str">
        <f>IFERROR(__xludf.DUMMYFUNCTION("""COMPUTED_VALUE"""),"*2009–10*")</f>
        <v>*2009–10*</v>
      </c>
      <c r="B45" s="1" t="str">
        <f>IFERROR(__xludf.DUMMYFUNCTION("""COMPUTED_VALUE"""),"2009–10")</f>
        <v>2009–10</v>
      </c>
      <c r="C45" s="1" t="str">
        <f>IFERROR(__xludf.DUMMYFUNCTION("""COMPUTED_VALUE"""),"Eastern")</f>
        <v>Eastern</v>
      </c>
      <c r="D45" s="1" t="str">
        <f>IFERROR(__xludf.DUMMYFUNCTION("""COMPUTED_VALUE"""),"8th")</f>
        <v>8th</v>
      </c>
      <c r="E45" s="1" t="str">
        <f>IFERROR(__xludf.DUMMYFUNCTION("""COMPUTED_VALUE"""),"Central")</f>
        <v>Central</v>
      </c>
      <c r="F45" s="1" t="str">
        <f>IFERROR(__xludf.DUMMYFUNCTION("""COMPUTED_VALUE"""),"3rd")</f>
        <v>3rd</v>
      </c>
      <c r="G45" s="1">
        <f>IFERROR(__xludf.DUMMYFUNCTION("""COMPUTED_VALUE"""),41.0)</f>
        <v>41</v>
      </c>
      <c r="H45" s="1">
        <f>IFERROR(__xludf.DUMMYFUNCTION("""COMPUTED_VALUE"""),41.0)</f>
        <v>41</v>
      </c>
      <c r="I45" s="1">
        <f>IFERROR(__xludf.DUMMYFUNCTION("""COMPUTED_VALUE"""),0.5)</f>
        <v>0.5</v>
      </c>
      <c r="J45" s="1">
        <f>IFERROR(__xludf.DUMMYFUNCTION("""COMPUTED_VALUE"""),20.0)</f>
        <v>20</v>
      </c>
      <c r="K45" s="1" t="str">
        <f>IFERROR(__xludf.DUMMYFUNCTION("""COMPUTED_VALUE"""),"Lost First round (Cavaliers) 4–1")</f>
        <v>Lost First round (Cavaliers) 4–1</v>
      </c>
      <c r="L45" s="1" t="str">
        <f>IFERROR(__xludf.DUMMYFUNCTION("""COMPUTED_VALUE"""),"—")</f>
        <v>—</v>
      </c>
      <c r="M45" s="1"/>
    </row>
    <row r="46">
      <c r="A46" s="1" t="str">
        <f>IFERROR(__xludf.DUMMYFUNCTION("""COMPUTED_VALUE"""),"*2010–11*")</f>
        <v>*2010–11*</v>
      </c>
      <c r="B46" s="1" t="str">
        <f>IFERROR(__xludf.DUMMYFUNCTION("""COMPUTED_VALUE"""),"2010–11")</f>
        <v>2010–11</v>
      </c>
      <c r="C46" s="1" t="str">
        <f>IFERROR(__xludf.DUMMYFUNCTION("""COMPUTED_VALUE"""),"Eastern")</f>
        <v>Eastern</v>
      </c>
      <c r="D46" s="1" t="str">
        <f>IFERROR(__xludf.DUMMYFUNCTION("""COMPUTED_VALUE"""),"1st")</f>
        <v>1st</v>
      </c>
      <c r="E46" s="1" t="str">
        <f>IFERROR(__xludf.DUMMYFUNCTION("""COMPUTED_VALUE"""),"*Central*")</f>
        <v>*Central*</v>
      </c>
      <c r="F46" s="1" t="str">
        <f>IFERROR(__xludf.DUMMYFUNCTION("""COMPUTED_VALUE"""),"*1st*")</f>
        <v>*1st*</v>
      </c>
      <c r="G46" s="1">
        <f>IFERROR(__xludf.DUMMYFUNCTION("""COMPUTED_VALUE"""),62.0)</f>
        <v>62</v>
      </c>
      <c r="H46" s="1">
        <f>IFERROR(__xludf.DUMMYFUNCTION("""COMPUTED_VALUE"""),20.0)</f>
        <v>20</v>
      </c>
      <c r="I46" s="1">
        <f>IFERROR(__xludf.DUMMYFUNCTION("""COMPUTED_VALUE"""),0.756)</f>
        <v>0.756</v>
      </c>
      <c r="J46" s="1" t="str">
        <f>IFERROR(__xludf.DUMMYFUNCTION("""COMPUTED_VALUE"""),"—")</f>
        <v>—</v>
      </c>
      <c r="K46" s="1" t="str">
        <f>IFERROR(__xludf.DUMMYFUNCTION("""COMPUTED_VALUE"""),"*Won*First round (Pacers) 4–1
*Won*conference semifinals (Hawks) 4–2
Lost conference finals (Heat) 4–1")</f>
        <v>*Won*First round (Pacers) 4–1
*Won*conference semifinals (Hawks) 4–2
Lost conference finals (Heat) 4–1</v>
      </c>
      <c r="L46" s="1" t="str">
        <f>IFERROR(__xludf.DUMMYFUNCTION("""COMPUTED_VALUE"""),"Derrick Rose(MVP)[54]
Tom Thibodeau(COY)[55]
Gar Forman(EOY)")</f>
        <v>Derrick Rose(MVP)[54]
Tom Thibodeau(COY)[55]
Gar Forman(EOY)</v>
      </c>
      <c r="M46" s="1" t="str">
        <f>IFERROR(__xludf.DUMMYFUNCTION("""COMPUTED_VALUE"""),"Tom Thibodeau")</f>
        <v>Tom Thibodeau</v>
      </c>
    </row>
    <row r="47">
      <c r="A47" s="1" t="str">
        <f>IFERROR(__xludf.DUMMYFUNCTION("""COMPUTED_VALUE"""),"*2011–12*")</f>
        <v>*2011–12*</v>
      </c>
      <c r="B47" s="1" t="str">
        <f>IFERROR(__xludf.DUMMYFUNCTION("""COMPUTED_VALUE"""),"2011–12[l]")</f>
        <v>2011–12[l]</v>
      </c>
      <c r="C47" s="1" t="str">
        <f>IFERROR(__xludf.DUMMYFUNCTION("""COMPUTED_VALUE"""),"Eastern")</f>
        <v>Eastern</v>
      </c>
      <c r="D47" s="1" t="str">
        <f>IFERROR(__xludf.DUMMYFUNCTION("""COMPUTED_VALUE"""),"1st")</f>
        <v>1st</v>
      </c>
      <c r="E47" s="1" t="str">
        <f>IFERROR(__xludf.DUMMYFUNCTION("""COMPUTED_VALUE"""),"*Central*")</f>
        <v>*Central*</v>
      </c>
      <c r="F47" s="1" t="str">
        <f>IFERROR(__xludf.DUMMYFUNCTION("""COMPUTED_VALUE"""),"*1st*")</f>
        <v>*1st*</v>
      </c>
      <c r="G47" s="1">
        <f>IFERROR(__xludf.DUMMYFUNCTION("""COMPUTED_VALUE"""),50.0)</f>
        <v>50</v>
      </c>
      <c r="H47" s="1">
        <f>IFERROR(__xludf.DUMMYFUNCTION("""COMPUTED_VALUE"""),16.0)</f>
        <v>16</v>
      </c>
      <c r="I47" s="1">
        <f>IFERROR(__xludf.DUMMYFUNCTION("""COMPUTED_VALUE"""),0.758)</f>
        <v>0.758</v>
      </c>
      <c r="J47" s="1" t="str">
        <f>IFERROR(__xludf.DUMMYFUNCTION("""COMPUTED_VALUE"""),"—")</f>
        <v>—</v>
      </c>
      <c r="K47" s="1" t="str">
        <f>IFERROR(__xludf.DUMMYFUNCTION("""COMPUTED_VALUE"""),"Lost First round (76ers) 4–2")</f>
        <v>Lost First round (76ers) 4–2</v>
      </c>
      <c r="L47" s="1" t="str">
        <f>IFERROR(__xludf.DUMMYFUNCTION("""COMPUTED_VALUE"""),"—")</f>
        <v>—</v>
      </c>
      <c r="M47" s="1"/>
    </row>
    <row r="48">
      <c r="A48" s="1" t="str">
        <f>IFERROR(__xludf.DUMMYFUNCTION("""COMPUTED_VALUE"""),"*2012–13*")</f>
        <v>*2012–13*</v>
      </c>
      <c r="B48" s="1" t="str">
        <f>IFERROR(__xludf.DUMMYFUNCTION("""COMPUTED_VALUE"""),"2012–13")</f>
        <v>2012–13</v>
      </c>
      <c r="C48" s="1" t="str">
        <f>IFERROR(__xludf.DUMMYFUNCTION("""COMPUTED_VALUE"""),"Eastern")</f>
        <v>Eastern</v>
      </c>
      <c r="D48" s="1" t="str">
        <f>IFERROR(__xludf.DUMMYFUNCTION("""COMPUTED_VALUE"""),"5th")</f>
        <v>5th</v>
      </c>
      <c r="E48" s="1" t="str">
        <f>IFERROR(__xludf.DUMMYFUNCTION("""COMPUTED_VALUE"""),"Central")</f>
        <v>Central</v>
      </c>
      <c r="F48" s="1" t="str">
        <f>IFERROR(__xludf.DUMMYFUNCTION("""COMPUTED_VALUE"""),"2nd")</f>
        <v>2nd</v>
      </c>
      <c r="G48" s="1">
        <f>IFERROR(__xludf.DUMMYFUNCTION("""COMPUTED_VALUE"""),45.0)</f>
        <v>45</v>
      </c>
      <c r="H48" s="1">
        <f>IFERROR(__xludf.DUMMYFUNCTION("""COMPUTED_VALUE"""),37.0)</f>
        <v>37</v>
      </c>
      <c r="I48" s="1">
        <f>IFERROR(__xludf.DUMMYFUNCTION("""COMPUTED_VALUE"""),0.549)</f>
        <v>0.549</v>
      </c>
      <c r="J48" s="1">
        <f>IFERROR(__xludf.DUMMYFUNCTION("""COMPUTED_VALUE"""),4.0)</f>
        <v>4</v>
      </c>
      <c r="K48" s="1" t="str">
        <f>IFERROR(__xludf.DUMMYFUNCTION("""COMPUTED_VALUE"""),"*Won*First round (Nets) 4–3
Lost conference semifinals (Heat) 4–1")</f>
        <v>*Won*First round (Nets) 4–3
Lost conference semifinals (Heat) 4–1</v>
      </c>
      <c r="L48" s="1" t="str">
        <f>IFERROR(__xludf.DUMMYFUNCTION("""COMPUTED_VALUE"""),"—")</f>
        <v>—</v>
      </c>
      <c r="M48" s="1"/>
    </row>
    <row r="49">
      <c r="A49" s="1" t="str">
        <f>IFERROR(__xludf.DUMMYFUNCTION("""COMPUTED_VALUE"""),"*2013–14*")</f>
        <v>*2013–14*</v>
      </c>
      <c r="B49" s="1" t="str">
        <f>IFERROR(__xludf.DUMMYFUNCTION("""COMPUTED_VALUE"""),"2013–14")</f>
        <v>2013–14</v>
      </c>
      <c r="C49" s="1" t="str">
        <f>IFERROR(__xludf.DUMMYFUNCTION("""COMPUTED_VALUE"""),"Eastern")</f>
        <v>Eastern</v>
      </c>
      <c r="D49" s="1" t="str">
        <f>IFERROR(__xludf.DUMMYFUNCTION("""COMPUTED_VALUE"""),"4th")</f>
        <v>4th</v>
      </c>
      <c r="E49" s="1" t="str">
        <f>IFERROR(__xludf.DUMMYFUNCTION("""COMPUTED_VALUE"""),"Central")</f>
        <v>Central</v>
      </c>
      <c r="F49" s="1" t="str">
        <f>IFERROR(__xludf.DUMMYFUNCTION("""COMPUTED_VALUE"""),"2nd")</f>
        <v>2nd</v>
      </c>
      <c r="G49" s="1">
        <f>IFERROR(__xludf.DUMMYFUNCTION("""COMPUTED_VALUE"""),48.0)</f>
        <v>48</v>
      </c>
      <c r="H49" s="1">
        <f>IFERROR(__xludf.DUMMYFUNCTION("""COMPUTED_VALUE"""),34.0)</f>
        <v>34</v>
      </c>
      <c r="I49" s="1">
        <f>IFERROR(__xludf.DUMMYFUNCTION("""COMPUTED_VALUE"""),0.585)</f>
        <v>0.585</v>
      </c>
      <c r="J49" s="1">
        <f>IFERROR(__xludf.DUMMYFUNCTION("""COMPUTED_VALUE"""),8.0)</f>
        <v>8</v>
      </c>
      <c r="K49" s="1" t="str">
        <f>IFERROR(__xludf.DUMMYFUNCTION("""COMPUTED_VALUE"""),"Lost First round (Wizards) 4–1")</f>
        <v>Lost First round (Wizards) 4–1</v>
      </c>
      <c r="L49" s="1" t="str">
        <f>IFERROR(__xludf.DUMMYFUNCTION("""COMPUTED_VALUE"""),"Joakim Noah(DPOY)")</f>
        <v>Joakim Noah(DPOY)</v>
      </c>
      <c r="M49" s="1"/>
    </row>
    <row r="50">
      <c r="A50" s="1" t="str">
        <f>IFERROR(__xludf.DUMMYFUNCTION("""COMPUTED_VALUE"""),"*2014–15*")</f>
        <v>*2014–15*</v>
      </c>
      <c r="B50" s="1" t="str">
        <f>IFERROR(__xludf.DUMMYFUNCTION("""COMPUTED_VALUE"""),"2014–15")</f>
        <v>2014–15</v>
      </c>
      <c r="C50" s="1" t="str">
        <f>IFERROR(__xludf.DUMMYFUNCTION("""COMPUTED_VALUE"""),"Eastern")</f>
        <v>Eastern</v>
      </c>
      <c r="D50" s="1" t="str">
        <f>IFERROR(__xludf.DUMMYFUNCTION("""COMPUTED_VALUE"""),"3rd")</f>
        <v>3rd</v>
      </c>
      <c r="E50" s="1" t="str">
        <f>IFERROR(__xludf.DUMMYFUNCTION("""COMPUTED_VALUE"""),"Central")</f>
        <v>Central</v>
      </c>
      <c r="F50" s="1" t="str">
        <f>IFERROR(__xludf.DUMMYFUNCTION("""COMPUTED_VALUE"""),"2nd")</f>
        <v>2nd</v>
      </c>
      <c r="G50" s="1">
        <f>IFERROR(__xludf.DUMMYFUNCTION("""COMPUTED_VALUE"""),50.0)</f>
        <v>50</v>
      </c>
      <c r="H50" s="1">
        <f>IFERROR(__xludf.DUMMYFUNCTION("""COMPUTED_VALUE"""),32.0)</f>
        <v>32</v>
      </c>
      <c r="I50" s="1">
        <f>IFERROR(__xludf.DUMMYFUNCTION("""COMPUTED_VALUE"""),0.61)</f>
        <v>0.61</v>
      </c>
      <c r="J50" s="1">
        <f>IFERROR(__xludf.DUMMYFUNCTION("""COMPUTED_VALUE"""),3.0)</f>
        <v>3</v>
      </c>
      <c r="K50" s="1" t="str">
        <f>IFERROR(__xludf.DUMMYFUNCTION("""COMPUTED_VALUE"""),"*Won*First round (Bucks) 4–2
Lost conference semifinals (Cavaliers) 4–2")</f>
        <v>*Won*First round (Bucks) 4–2
Lost conference semifinals (Cavaliers) 4–2</v>
      </c>
      <c r="L50" s="1" t="str">
        <f>IFERROR(__xludf.DUMMYFUNCTION("""COMPUTED_VALUE"""),"Jimmy Butler(MIP)
Joakim Noah(JWKC)")</f>
        <v>Jimmy Butler(MIP)
Joakim Noah(JWKC)</v>
      </c>
      <c r="M50" s="1"/>
    </row>
    <row r="51">
      <c r="A51" s="1" t="str">
        <f>IFERROR(__xludf.DUMMYFUNCTION("""COMPUTED_VALUE"""),"*2015–16*")</f>
        <v>*2015–16*</v>
      </c>
      <c r="B51" s="1" t="str">
        <f>IFERROR(__xludf.DUMMYFUNCTION("""COMPUTED_VALUE"""),"2015–16")</f>
        <v>2015–16</v>
      </c>
      <c r="C51" s="1" t="str">
        <f>IFERROR(__xludf.DUMMYFUNCTION("""COMPUTED_VALUE"""),"Eastern")</f>
        <v>Eastern</v>
      </c>
      <c r="D51" s="1" t="str">
        <f>IFERROR(__xludf.DUMMYFUNCTION("""COMPUTED_VALUE"""),"9th")</f>
        <v>9th</v>
      </c>
      <c r="E51" s="1" t="str">
        <f>IFERROR(__xludf.DUMMYFUNCTION("""COMPUTED_VALUE"""),"Central")</f>
        <v>Central</v>
      </c>
      <c r="F51" s="1" t="str">
        <f>IFERROR(__xludf.DUMMYFUNCTION("""COMPUTED_VALUE"""),"4th")</f>
        <v>4th</v>
      </c>
      <c r="G51" s="1">
        <f>IFERROR(__xludf.DUMMYFUNCTION("""COMPUTED_VALUE"""),42.0)</f>
        <v>42</v>
      </c>
      <c r="H51" s="1">
        <f>IFERROR(__xludf.DUMMYFUNCTION("""COMPUTED_VALUE"""),40.0)</f>
        <v>40</v>
      </c>
      <c r="I51" s="1">
        <f>IFERROR(__xludf.DUMMYFUNCTION("""COMPUTED_VALUE"""),0.512)</f>
        <v>0.512</v>
      </c>
      <c r="J51" s="1">
        <f>IFERROR(__xludf.DUMMYFUNCTION("""COMPUTED_VALUE"""),15.0)</f>
        <v>15</v>
      </c>
      <c r="K51" s="1"/>
      <c r="L51" s="1"/>
      <c r="M51" s="1" t="str">
        <f>IFERROR(__xludf.DUMMYFUNCTION("""COMPUTED_VALUE"""),"Fred Hoiberg")</f>
        <v>Fred Hoiberg</v>
      </c>
    </row>
    <row r="52">
      <c r="A52" s="1" t="str">
        <f>IFERROR(__xludf.DUMMYFUNCTION("""COMPUTED_VALUE"""),"*2016–17*")</f>
        <v>*2016–17*</v>
      </c>
      <c r="B52" s="1" t="str">
        <f>IFERROR(__xludf.DUMMYFUNCTION("""COMPUTED_VALUE"""),"2016–17")</f>
        <v>2016–17</v>
      </c>
      <c r="C52" s="1" t="str">
        <f>IFERROR(__xludf.DUMMYFUNCTION("""COMPUTED_VALUE"""),"Eastern")</f>
        <v>Eastern</v>
      </c>
      <c r="D52" s="1" t="str">
        <f>IFERROR(__xludf.DUMMYFUNCTION("""COMPUTED_VALUE"""),"8th")</f>
        <v>8th</v>
      </c>
      <c r="E52" s="1" t="str">
        <f>IFERROR(__xludf.DUMMYFUNCTION("""COMPUTED_VALUE"""),"Central")</f>
        <v>Central</v>
      </c>
      <c r="F52" s="1" t="str">
        <f>IFERROR(__xludf.DUMMYFUNCTION("""COMPUTED_VALUE"""),"4th")</f>
        <v>4th</v>
      </c>
      <c r="G52" s="1">
        <f>IFERROR(__xludf.DUMMYFUNCTION("""COMPUTED_VALUE"""),41.0)</f>
        <v>41</v>
      </c>
      <c r="H52" s="1">
        <f>IFERROR(__xludf.DUMMYFUNCTION("""COMPUTED_VALUE"""),41.0)</f>
        <v>41</v>
      </c>
      <c r="I52" s="1">
        <f>IFERROR(__xludf.DUMMYFUNCTION("""COMPUTED_VALUE"""),0.5)</f>
        <v>0.5</v>
      </c>
      <c r="J52" s="1">
        <f>IFERROR(__xludf.DUMMYFUNCTION("""COMPUTED_VALUE"""),10.0)</f>
        <v>10</v>
      </c>
      <c r="K52" s="1" t="str">
        <f>IFERROR(__xludf.DUMMYFUNCTION("""COMPUTED_VALUE"""),"Lost First round (Celtics) 4–2")</f>
        <v>Lost First round (Celtics) 4–2</v>
      </c>
      <c r="L52" s="1"/>
      <c r="M52" s="1"/>
    </row>
    <row r="53">
      <c r="A53" s="1" t="str">
        <f>IFERROR(__xludf.DUMMYFUNCTION("""COMPUTED_VALUE"""),"*2017–18*")</f>
        <v>*2017–18*</v>
      </c>
      <c r="B53" s="1" t="str">
        <f>IFERROR(__xludf.DUMMYFUNCTION("""COMPUTED_VALUE"""),"2017–18")</f>
        <v>2017–18</v>
      </c>
      <c r="C53" s="1" t="str">
        <f>IFERROR(__xludf.DUMMYFUNCTION("""COMPUTED_VALUE"""),"Eastern")</f>
        <v>Eastern</v>
      </c>
      <c r="D53" s="1" t="str">
        <f>IFERROR(__xludf.DUMMYFUNCTION("""COMPUTED_VALUE"""),"13th")</f>
        <v>13th</v>
      </c>
      <c r="E53" s="1" t="str">
        <f>IFERROR(__xludf.DUMMYFUNCTION("""COMPUTED_VALUE"""),"Central")</f>
        <v>Central</v>
      </c>
      <c r="F53" s="1" t="str">
        <f>IFERROR(__xludf.DUMMYFUNCTION("""COMPUTED_VALUE"""),"5th")</f>
        <v>5th</v>
      </c>
      <c r="G53" s="1">
        <f>IFERROR(__xludf.DUMMYFUNCTION("""COMPUTED_VALUE"""),27.0)</f>
        <v>27</v>
      </c>
      <c r="H53" s="1">
        <f>IFERROR(__xludf.DUMMYFUNCTION("""COMPUTED_VALUE"""),55.0)</f>
        <v>55</v>
      </c>
      <c r="I53" s="1">
        <f>IFERROR(__xludf.DUMMYFUNCTION("""COMPUTED_VALUE"""),0.329)</f>
        <v>0.329</v>
      </c>
      <c r="J53" s="1">
        <f>IFERROR(__xludf.DUMMYFUNCTION("""COMPUTED_VALUE"""),23.0)</f>
        <v>23</v>
      </c>
      <c r="K53" s="1"/>
      <c r="L53" s="1"/>
      <c r="M53" s="1"/>
    </row>
    <row r="54">
      <c r="A54" s="1" t="str">
        <f>IFERROR(__xludf.DUMMYFUNCTION("""COMPUTED_VALUE"""),"*2018–19*")</f>
        <v>*2018–19*</v>
      </c>
      <c r="B54" s="1" t="str">
        <f>IFERROR(__xludf.DUMMYFUNCTION("""COMPUTED_VALUE"""),"2018–19")</f>
        <v>2018–19</v>
      </c>
      <c r="C54" s="1" t="str">
        <f>IFERROR(__xludf.DUMMYFUNCTION("""COMPUTED_VALUE"""),"Eastern")</f>
        <v>Eastern</v>
      </c>
      <c r="D54" s="1" t="str">
        <f>IFERROR(__xludf.DUMMYFUNCTION("""COMPUTED_VALUE"""),"13th")</f>
        <v>13th</v>
      </c>
      <c r="E54" s="1" t="str">
        <f>IFERROR(__xludf.DUMMYFUNCTION("""COMPUTED_VALUE"""),"Central")</f>
        <v>Central</v>
      </c>
      <c r="F54" s="1" t="str">
        <f>IFERROR(__xludf.DUMMYFUNCTION("""COMPUTED_VALUE"""),"4th")</f>
        <v>4th</v>
      </c>
      <c r="G54" s="1">
        <f>IFERROR(__xludf.DUMMYFUNCTION("""COMPUTED_VALUE"""),22.0)</f>
        <v>22</v>
      </c>
      <c r="H54" s="1">
        <f>IFERROR(__xludf.DUMMYFUNCTION("""COMPUTED_VALUE"""),60.0)</f>
        <v>60</v>
      </c>
      <c r="I54" s="1">
        <f>IFERROR(__xludf.DUMMYFUNCTION("""COMPUTED_VALUE"""),0.268)</f>
        <v>0.268</v>
      </c>
      <c r="J54" s="1">
        <f>IFERROR(__xludf.DUMMYFUNCTION("""COMPUTED_VALUE"""),38.0)</f>
        <v>38</v>
      </c>
      <c r="K54" s="1"/>
      <c r="L54" s="1"/>
      <c r="M54" s="1" t="str">
        <f>IFERROR(__xludf.DUMMYFUNCTION("""COMPUTED_VALUE"""),"Fred Hoiberg
Jim Boylen")</f>
        <v>Fred Hoiberg
Jim Boylen</v>
      </c>
    </row>
    <row r="55">
      <c r="A55" s="1" t="str">
        <f>IFERROR(__xludf.DUMMYFUNCTION("""COMPUTED_VALUE"""),"*2019–20*")</f>
        <v>*2019–20*</v>
      </c>
      <c r="B55" s="1" t="str">
        <f>IFERROR(__xludf.DUMMYFUNCTION("""COMPUTED_VALUE"""),"2019–20")</f>
        <v>2019–20</v>
      </c>
      <c r="C55" s="1" t="str">
        <f>IFERROR(__xludf.DUMMYFUNCTION("""COMPUTED_VALUE"""),"Eastern")</f>
        <v>Eastern</v>
      </c>
      <c r="D55" s="1" t="str">
        <f>IFERROR(__xludf.DUMMYFUNCTION("""COMPUTED_VALUE"""),"11th")</f>
        <v>11th</v>
      </c>
      <c r="E55" s="1" t="str">
        <f>IFERROR(__xludf.DUMMYFUNCTION("""COMPUTED_VALUE"""),"Central")</f>
        <v>Central</v>
      </c>
      <c r="F55" s="1" t="str">
        <f>IFERROR(__xludf.DUMMYFUNCTION("""COMPUTED_VALUE"""),"3rd")</f>
        <v>3rd</v>
      </c>
      <c r="G55" s="1">
        <f>IFERROR(__xludf.DUMMYFUNCTION("""COMPUTED_VALUE"""),22.0)</f>
        <v>22</v>
      </c>
      <c r="H55" s="1">
        <f>IFERROR(__xludf.DUMMYFUNCTION("""COMPUTED_VALUE"""),43.0)</f>
        <v>43</v>
      </c>
      <c r="I55" s="1">
        <f>IFERROR(__xludf.DUMMYFUNCTION("""COMPUTED_VALUE"""),0.338)</f>
        <v>0.338</v>
      </c>
      <c r="J55" s="1">
        <f>IFERROR(__xludf.DUMMYFUNCTION("""COMPUTED_VALUE"""),30.0)</f>
        <v>30</v>
      </c>
      <c r="K55" s="1"/>
      <c r="L55" s="1"/>
      <c r="M55" s="1" t="str">
        <f>IFERROR(__xludf.DUMMYFUNCTION("""COMPUTED_VALUE"""),"Jim Boylen")</f>
        <v>Jim Boylen</v>
      </c>
    </row>
    <row r="56">
      <c r="A56" s="1" t="str">
        <f>IFERROR(__xludf.DUMMYFUNCTION("""COMPUTED_VALUE"""),"*2020–21*")</f>
        <v>*2020–21*</v>
      </c>
      <c r="B56" s="1" t="str">
        <f>IFERROR(__xludf.DUMMYFUNCTION("""COMPUTED_VALUE"""),"2020–21")</f>
        <v>2020–21</v>
      </c>
      <c r="C56" s="1" t="str">
        <f>IFERROR(__xludf.DUMMYFUNCTION("""COMPUTED_VALUE"""),"Eastern")</f>
        <v>Eastern</v>
      </c>
      <c r="D56" s="1" t="str">
        <f>IFERROR(__xludf.DUMMYFUNCTION("""COMPUTED_VALUE"""),"11th")</f>
        <v>11th</v>
      </c>
      <c r="E56" s="1" t="str">
        <f>IFERROR(__xludf.DUMMYFUNCTION("""COMPUTED_VALUE"""),"Central")</f>
        <v>Central</v>
      </c>
      <c r="F56" s="1" t="str">
        <f>IFERROR(__xludf.DUMMYFUNCTION("""COMPUTED_VALUE"""),"3rd")</f>
        <v>3rd</v>
      </c>
      <c r="G56" s="1">
        <f>IFERROR(__xludf.DUMMYFUNCTION("""COMPUTED_VALUE"""),31.0)</f>
        <v>31</v>
      </c>
      <c r="H56" s="1">
        <f>IFERROR(__xludf.DUMMYFUNCTION("""COMPUTED_VALUE"""),41.0)</f>
        <v>41</v>
      </c>
      <c r="I56" s="1">
        <f>IFERROR(__xludf.DUMMYFUNCTION("""COMPUTED_VALUE"""),0.431)</f>
        <v>0.431</v>
      </c>
      <c r="J56" s="1">
        <f>IFERROR(__xludf.DUMMYFUNCTION("""COMPUTED_VALUE"""),18.0)</f>
        <v>18</v>
      </c>
      <c r="K56" s="1"/>
      <c r="L56" s="1"/>
      <c r="M56" s="1" t="str">
        <f>IFERROR(__xludf.DUMMYFUNCTION("""COMPUTED_VALUE"""),"Billy Donovan")</f>
        <v>Billy Donovan</v>
      </c>
    </row>
    <row r="57">
      <c r="A57" s="1" t="str">
        <f>IFERROR(__xludf.DUMMYFUNCTION("""COMPUTED_VALUE"""),"*2021–22*")</f>
        <v>*2021–22*</v>
      </c>
      <c r="B57" s="1" t="str">
        <f>IFERROR(__xludf.DUMMYFUNCTION("""COMPUTED_VALUE"""),"2021–22")</f>
        <v>2021–22</v>
      </c>
      <c r="C57" s="1" t="str">
        <f>IFERROR(__xludf.DUMMYFUNCTION("""COMPUTED_VALUE"""),"Eastern")</f>
        <v>Eastern</v>
      </c>
      <c r="D57" s="1" t="str">
        <f>IFERROR(__xludf.DUMMYFUNCTION("""COMPUTED_VALUE"""),"6th")</f>
        <v>6th</v>
      </c>
      <c r="E57" s="1" t="str">
        <f>IFERROR(__xludf.DUMMYFUNCTION("""COMPUTED_VALUE"""),"Central")</f>
        <v>Central</v>
      </c>
      <c r="F57" s="1" t="str">
        <f>IFERROR(__xludf.DUMMYFUNCTION("""COMPUTED_VALUE"""),"2nd")</f>
        <v>2nd</v>
      </c>
      <c r="G57" s="1">
        <f>IFERROR(__xludf.DUMMYFUNCTION("""COMPUTED_VALUE"""),46.0)</f>
        <v>46</v>
      </c>
      <c r="H57" s="1">
        <f>IFERROR(__xludf.DUMMYFUNCTION("""COMPUTED_VALUE"""),36.0)</f>
        <v>36</v>
      </c>
      <c r="I57" s="1">
        <f>IFERROR(__xludf.DUMMYFUNCTION("""COMPUTED_VALUE"""),0.561)</f>
        <v>0.561</v>
      </c>
      <c r="J57" s="1">
        <f>IFERROR(__xludf.DUMMYFUNCTION("""COMPUTED_VALUE"""),7.0)</f>
        <v>7</v>
      </c>
      <c r="K57" s="1" t="str">
        <f>IFERROR(__xludf.DUMMYFUNCTION("""COMPUTED_VALUE"""),"Lost First round (Bucks) 4–1")</f>
        <v>Lost First round (Bucks) 4–1</v>
      </c>
      <c r="L57" s="1"/>
      <c r="M57" s="1"/>
    </row>
    <row r="58">
      <c r="A58" s="1" t="str">
        <f>IFERROR(__xludf.DUMMYFUNCTION("""COMPUTED_VALUE"""),"*2022–23*")</f>
        <v>*2022–23*</v>
      </c>
      <c r="B58" s="1" t="str">
        <f>IFERROR(__xludf.DUMMYFUNCTION("""COMPUTED_VALUE"""),"2022–23")</f>
        <v>2022–23</v>
      </c>
      <c r="C58" s="1" t="str">
        <f>IFERROR(__xludf.DUMMYFUNCTION("""COMPUTED_VALUE"""),"Eastern")</f>
        <v>Eastern</v>
      </c>
      <c r="D58" s="1" t="str">
        <f>IFERROR(__xludf.DUMMYFUNCTION("""COMPUTED_VALUE"""),"9th[m]")</f>
        <v>9th[m]</v>
      </c>
      <c r="E58" s="1" t="str">
        <f>IFERROR(__xludf.DUMMYFUNCTION("""COMPUTED_VALUE"""),"Central")</f>
        <v>Central</v>
      </c>
      <c r="F58" s="1" t="str">
        <f>IFERROR(__xludf.DUMMYFUNCTION("""COMPUTED_VALUE"""),"3rd")</f>
        <v>3rd</v>
      </c>
      <c r="G58" s="1">
        <f>IFERROR(__xludf.DUMMYFUNCTION("""COMPUTED_VALUE"""),40.0)</f>
        <v>40</v>
      </c>
      <c r="H58" s="1">
        <f>IFERROR(__xludf.DUMMYFUNCTION("""COMPUTED_VALUE"""),42.0)</f>
        <v>42</v>
      </c>
      <c r="I58" s="1">
        <f>IFERROR(__xludf.DUMMYFUNCTION("""COMPUTED_VALUE"""),0.488)</f>
        <v>0.488</v>
      </c>
      <c r="J58" s="1">
        <f>IFERROR(__xludf.DUMMYFUNCTION("""COMPUTED_VALUE"""),18.0)</f>
        <v>18</v>
      </c>
      <c r="K58" s="1"/>
      <c r="L58" s="1"/>
      <c r="M58" s="1"/>
    </row>
  </sheetData>
  <drawing r:id="rId1"/>
</worksheet>
</file>