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iane Fernandes\OneDrive\Área de Trabalho\SOFTWARE PARA TESTES DE FLUXO MAGNÉTICO\"/>
    </mc:Choice>
  </mc:AlternateContent>
  <xr:revisionPtr revIDLastSave="0" documentId="8_{75A01E84-FCCB-954E-9CB0-CC81D2FDC6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6" i="1"/>
  <c r="AG85" i="1"/>
  <c r="D64" i="1"/>
  <c r="AG84" i="1"/>
  <c r="D62" i="1"/>
  <c r="AE84" i="1"/>
  <c r="D78" i="1"/>
  <c r="AR28" i="1"/>
  <c r="AQ29" i="1"/>
  <c r="AT28" i="1"/>
  <c r="AT29" i="1"/>
  <c r="AT30" i="1"/>
  <c r="J13" i="1"/>
  <c r="AF79" i="1"/>
  <c r="AF74" i="1"/>
  <c r="AF69" i="1"/>
  <c r="AM59" i="1"/>
  <c r="AF63" i="1"/>
  <c r="AH54" i="1"/>
  <c r="AL17" i="1"/>
  <c r="AC23" i="1"/>
  <c r="W26" i="1"/>
  <c r="AO9" i="1"/>
  <c r="AK9" i="1"/>
  <c r="AG50" i="1"/>
  <c r="AG49" i="1"/>
  <c r="AI51" i="1"/>
  <c r="AG47" i="1"/>
  <c r="AG45" i="1"/>
  <c r="AI49" i="1"/>
  <c r="AG63" i="1"/>
  <c r="AH63" i="1"/>
  <c r="AO43" i="1"/>
  <c r="B34" i="1"/>
  <c r="A36" i="1"/>
  <c r="C36" i="1"/>
  <c r="AF42" i="1"/>
  <c r="AF41" i="1"/>
  <c r="AL39" i="1"/>
  <c r="AL40" i="1"/>
  <c r="AM36" i="1"/>
  <c r="AM37" i="1"/>
  <c r="AL31" i="1"/>
  <c r="AM27" i="1"/>
  <c r="AM28" i="1"/>
  <c r="AI29" i="1"/>
  <c r="AG18" i="1"/>
  <c r="AM15" i="1"/>
  <c r="AK15" i="1"/>
  <c r="AI15" i="1"/>
  <c r="AC18" i="1"/>
  <c r="AC16" i="1"/>
  <c r="AC14" i="1"/>
  <c r="AC12" i="1"/>
  <c r="AC10" i="1"/>
  <c r="AH12" i="1"/>
  <c r="AG13" i="1"/>
  <c r="AE18" i="1"/>
  <c r="AE16" i="1"/>
  <c r="AE14" i="1"/>
  <c r="AE12" i="1"/>
  <c r="AS16" i="1"/>
  <c r="AT17" i="1"/>
  <c r="AE10" i="1"/>
  <c r="AC24" i="1"/>
  <c r="U64" i="1"/>
  <c r="U65" i="1"/>
  <c r="U66" i="1"/>
  <c r="D30" i="1"/>
  <c r="AD20" i="1"/>
  <c r="AL41" i="1"/>
  <c r="AQ30" i="1"/>
  <c r="AQ28" i="1"/>
  <c r="AQ31" i="1"/>
  <c r="I13" i="1"/>
  <c r="AQ16" i="1"/>
  <c r="AV16" i="1"/>
  <c r="AM10" i="1"/>
  <c r="AM11" i="1"/>
  <c r="AJ11" i="1"/>
  <c r="AJ12" i="1"/>
  <c r="AE54" i="1"/>
  <c r="AE55" i="1"/>
  <c r="AG54" i="1"/>
  <c r="AG55" i="1"/>
  <c r="AH55" i="1"/>
  <c r="AI54" i="1"/>
  <c r="AQ19" i="1"/>
  <c r="AG46" i="1"/>
  <c r="AI46" i="1"/>
  <c r="D76" i="1"/>
  <c r="AI52" i="1"/>
  <c r="AG9" i="1"/>
  <c r="AG10" i="1"/>
  <c r="R16" i="1"/>
  <c r="AC25" i="1"/>
  <c r="AC26" i="1"/>
  <c r="AD26" i="1"/>
  <c r="W10" i="1"/>
  <c r="AI47" i="1"/>
  <c r="AF43" i="1"/>
  <c r="I46" i="1"/>
  <c r="I47" i="1"/>
  <c r="AN24" i="1"/>
  <c r="AG15" i="1"/>
  <c r="AG16" i="1"/>
  <c r="AG19" i="1"/>
  <c r="AH20" i="1"/>
  <c r="AH21" i="1"/>
  <c r="AM29" i="1"/>
  <c r="AM30" i="1"/>
  <c r="AM31" i="1"/>
  <c r="A30" i="1"/>
  <c r="AI27" i="1"/>
  <c r="AJ27" i="1"/>
  <c r="AF27" i="1"/>
  <c r="AL59" i="1"/>
  <c r="AL60" i="1"/>
  <c r="AM60" i="1"/>
  <c r="AE69" i="1"/>
  <c r="AE70" i="1"/>
  <c r="AF70" i="1"/>
  <c r="AH80" i="1"/>
  <c r="AI80" i="1"/>
  <c r="AJ80" i="1"/>
  <c r="AH74" i="1"/>
  <c r="AI74" i="1"/>
  <c r="AL63" i="1"/>
  <c r="AM63" i="1"/>
  <c r="AN63" i="1"/>
  <c r="AE57" i="1"/>
  <c r="AF57" i="1"/>
  <c r="AH79" i="1"/>
  <c r="AI79" i="1"/>
  <c r="AK79" i="1"/>
  <c r="AH70" i="1"/>
  <c r="AH75" i="1"/>
  <c r="AI75" i="1"/>
  <c r="AJ75" i="1"/>
  <c r="AL62" i="1"/>
  <c r="AM62" i="1"/>
  <c r="AE58" i="1"/>
  <c r="AF58" i="1"/>
  <c r="AG58" i="1"/>
  <c r="AH69" i="1"/>
  <c r="AI69" i="1"/>
  <c r="AG64" i="1"/>
  <c r="AH64" i="1"/>
  <c r="AI64" i="1"/>
  <c r="AI63" i="1"/>
  <c r="AE79" i="1"/>
  <c r="AE80" i="1"/>
  <c r="AF80" i="1"/>
  <c r="AE74" i="1"/>
  <c r="AE75" i="1"/>
  <c r="AF75" i="1"/>
  <c r="AE63" i="1"/>
  <c r="AE64" i="1"/>
  <c r="AE65" i="1"/>
  <c r="AI30" i="1"/>
  <c r="AF35" i="1"/>
  <c r="AF36" i="1"/>
  <c r="AG23" i="1"/>
  <c r="AG24" i="1"/>
  <c r="O16" i="1"/>
  <c r="AI28" i="1"/>
  <c r="AN62" i="1"/>
  <c r="AL64" i="1"/>
  <c r="R11" i="1"/>
  <c r="AG81" i="1"/>
  <c r="L11" i="1"/>
  <c r="T4" i="1"/>
  <c r="AH57" i="1"/>
  <c r="AE59" i="1"/>
  <c r="N11" i="1"/>
  <c r="AG65" i="1"/>
  <c r="P11" i="1"/>
  <c r="AI70" i="1"/>
  <c r="AJ70" i="1"/>
  <c r="AK70" i="1"/>
  <c r="AG71" i="1"/>
  <c r="T11" i="1"/>
  <c r="AK74" i="1"/>
  <c r="AG76" i="1"/>
  <c r="T9" i="1"/>
  <c r="B51" i="1"/>
  <c r="C51" i="1"/>
  <c r="D51" i="1"/>
  <c r="E51" i="1"/>
  <c r="F51" i="1"/>
  <c r="H50" i="1"/>
  <c r="AR22" i="1"/>
  <c r="AR21" i="1"/>
  <c r="AG35" i="1"/>
  <c r="H54" i="1"/>
  <c r="B50" i="1"/>
  <c r="AI35" i="1"/>
  <c r="AJ35" i="1"/>
  <c r="G30" i="1"/>
  <c r="AI31" i="1"/>
  <c r="O29" i="1"/>
  <c r="W25" i="1"/>
  <c r="V27" i="1"/>
  <c r="AG26" i="1"/>
  <c r="R26" i="1"/>
  <c r="AI24" i="1"/>
  <c r="K26" i="1"/>
  <c r="AM24" i="1"/>
  <c r="O26" i="1"/>
  <c r="K16" i="1"/>
  <c r="AR24" i="1"/>
  <c r="AQ25" i="1"/>
  <c r="AQ9" i="1"/>
  <c r="AQ10" i="1"/>
  <c r="R29" i="1"/>
  <c r="AU22" i="1"/>
  <c r="AU25" i="1"/>
  <c r="AU26" i="1"/>
  <c r="L22" i="1"/>
  <c r="AO10" i="1"/>
  <c r="AO11" i="1"/>
  <c r="W38" i="1"/>
  <c r="L29" i="1"/>
</calcChain>
</file>

<file path=xl/sharedStrings.xml><?xml version="1.0" encoding="utf-8"?>
<sst xmlns="http://schemas.openxmlformats.org/spreadsheetml/2006/main" count="324" uniqueCount="284">
  <si>
    <t>CÁLCULO DE MOTORES TRIFÁSICOS 2.0 PRO (PREMIUM)</t>
  </si>
  <si>
    <t>🔧MOTORES</t>
  </si>
  <si>
    <t xml:space="preserve">🧮CÁLCULOS </t>
  </si>
  <si>
    <t xml:space="preserve">⚡SOLUÇÕES </t>
  </si>
  <si>
    <t xml:space="preserve">Técnico: Leonardo Silva </t>
  </si>
  <si>
    <t>💻@leotechmotoreseletricos</t>
  </si>
  <si>
    <t>📞(83) 98199-8612</t>
  </si>
  <si>
    <t>✉️ rebobinadormaster@gmail.com</t>
  </si>
  <si>
    <t xml:space="preserve">• Planilha técnica desenvolvida para cálculo de motores, modificações e corrigir falhas. </t>
  </si>
  <si>
    <t xml:space="preserve">DADOS DE ENTRADA </t>
  </si>
  <si>
    <t>MODELO</t>
  </si>
  <si>
    <t>POTÊNCIA (CV)</t>
  </si>
  <si>
    <t>TENSÃO (V)</t>
  </si>
  <si>
    <t>CORRENTE (A)</t>
  </si>
  <si>
    <t>RENDIMENTO (%)</t>
  </si>
  <si>
    <t xml:space="preserve">RPM </t>
  </si>
  <si>
    <t>COS (FP)</t>
  </si>
  <si>
    <t>FREQUÊNCIA (Hz)</t>
  </si>
  <si>
    <t>Y</t>
  </si>
  <si>
    <t>∆</t>
  </si>
  <si>
    <t xml:space="preserve">DADOS DO NÚCLEO </t>
  </si>
  <si>
    <t>PROFUNDIDADE DO CANAL (h)</t>
  </si>
  <si>
    <t>LARGURA DO DENTE DO ESTATOR (bd)</t>
  </si>
  <si>
    <t>ALTURA DA COROA (hc)</t>
  </si>
  <si>
    <t>NÚMERO DE CANAIS (N)</t>
  </si>
  <si>
    <t xml:space="preserve">COMPRIMENTO DO PACOTE (L) </t>
  </si>
  <si>
    <t>DIÂMETRO INTERNO (D)</t>
  </si>
  <si>
    <t xml:space="preserve">ser em (mm) milímetros </t>
  </si>
  <si>
    <t xml:space="preserve">foram feitas corretamente </t>
  </si>
  <si>
    <t>ÁREA DA RANHURA EM mm²</t>
  </si>
  <si>
    <t>DIÂMETRO EXTERNO (Di1)</t>
  </si>
  <si>
    <t xml:space="preserve">PÓLOS </t>
  </si>
  <si>
    <t>(A) ESTIMADO</t>
  </si>
  <si>
    <t>👉🏻 Todos as medidas devem</t>
  </si>
  <si>
    <t>👉🏻 Certifique que as medidas</t>
  </si>
  <si>
    <t>QUANTIDADE DE COBRE USADA (KG)</t>
  </si>
  <si>
    <t>DENSIDADE DE CORRENTE A/mm²</t>
  </si>
  <si>
    <t>CALCULADORA DE SEÇÃO mm²</t>
  </si>
  <si>
    <t>SEÇÃO mm² obtida</t>
  </si>
  <si>
    <t xml:space="preserve">A/mm² obtido </t>
  </si>
  <si>
    <t xml:space="preserve">DADOS TEC..DE BOBINAGEM </t>
  </si>
  <si>
    <t xml:space="preserve">ESPIRAS </t>
  </si>
  <si>
    <t>PASSO</t>
  </si>
  <si>
    <t xml:space="preserve">CAMADA </t>
  </si>
  <si>
    <t xml:space="preserve">LIGAÇÃO </t>
  </si>
  <si>
    <t xml:space="preserve">DISTORÇÕES HARMÔNICAS </t>
  </si>
  <si>
    <t>👉🏻 As Harmônicas na bobinagem são as de ordem:</t>
  </si>
  <si>
    <t>1ª</t>
  </si>
  <si>
    <t>5ª</t>
  </si>
  <si>
    <t>7ª</t>
  </si>
  <si>
    <t>1ª Fundamental: Campo girante principal</t>
  </si>
  <si>
    <t xml:space="preserve">7ª Harmônica positiva: Gira no mesmo sentido, mas distorce o campo </t>
  </si>
  <si>
    <t>11ª, 13ª, 17ª.... Altas ordens: Pouco impacto direto, mas causa perdas e aquecimento</t>
  </si>
  <si>
    <t>5ª Harmônica principal: Gira no sentido oposto &gt; torque negativo, ruído</t>
  </si>
  <si>
    <t xml:space="preserve">11ª....: 0,1 altas ordens devem ser naturalmente minimizadas </t>
  </si>
  <si>
    <t>11ª</t>
  </si>
  <si>
    <t>13ª</t>
  </si>
  <si>
    <t>17ª</t>
  </si>
  <si>
    <t>LIGAÇÃO PARALELO PARA TENSÃO ESPECÍFICADA</t>
  </si>
  <si>
    <t>K2</t>
  </si>
  <si>
    <t>(1) ∆</t>
  </si>
  <si>
    <t>(1,73) Y</t>
  </si>
  <si>
    <t>MODIFICAÇÃO DE PASSO</t>
  </si>
  <si>
    <t>CAMADA ÚNICA (2) / DUPLA (1)</t>
  </si>
  <si>
    <t>×</t>
  </si>
  <si>
    <t>FIO mm²</t>
  </si>
  <si>
    <t>RECOMENDADO 👉🏻</t>
  </si>
  <si>
    <t>TENSÃO POR FASE (V)</t>
  </si>
  <si>
    <t xml:space="preserve"> DADOS DE FLUXO MAGNÉTICO (Ø)🧲⚡</t>
  </si>
  <si>
    <t>1ª :entre 0,85 a 0,97 para máxima eficiência e torque</t>
  </si>
  <si>
    <t>NÍVEIS DE INDUÇÃO NO ESTATOR 🧲</t>
  </si>
  <si>
    <t>INDUÇÃO NO ENTRE-FERRO</t>
  </si>
  <si>
    <t>INDUÇÃO NA COROA</t>
  </si>
  <si>
    <t>INDUÇÃO NA DENTE</t>
  </si>
  <si>
    <t>FATOR DE ENCHIMENTO</t>
  </si>
  <si>
    <r>
      <t xml:space="preserve">TENSÃO INDUZIDA </t>
    </r>
    <r>
      <rPr>
        <b/>
        <sz val="11"/>
        <color theme="1"/>
        <rFont val="Calibri"/>
        <family val="2"/>
      </rPr>
      <t>ⱡ</t>
    </r>
  </si>
  <si>
    <t>PERCAS POR JOULE (kW)</t>
  </si>
  <si>
    <t xml:space="preserve">ENTRE-FERRO </t>
  </si>
  <si>
    <t>DENTE DO ESTATOR</t>
  </si>
  <si>
    <t>COROA DO ESTATOR</t>
  </si>
  <si>
    <t>&gt; 1,0 - 1,6 (T)</t>
  </si>
  <si>
    <t>&gt; Acima de 2,0 (T) o núcleo começa a saturar</t>
  </si>
  <si>
    <t>&gt; Entre-Ferro é a região mais crítica para perdas de rendimentos. Valores mais altos aumentam o torque, mas elevam</t>
  </si>
  <si>
    <t>as perdas por histerese e correntes parasitas</t>
  </si>
  <si>
    <t>&gt; Em projetos de alta eficiência (IE3/IE4) valores mais baixos são preferidos para reduzir perdas</t>
  </si>
  <si>
    <t>&gt; Motores pequenos tendem a operar com induções maiores, pois o volume é mais restrito</t>
  </si>
  <si>
    <t xml:space="preserve">&gt; Chapas magnéticas mais modernas permitem operar com induções maiores sem tantas perdas </t>
  </si>
  <si>
    <t>&gt; 1,1 - 1,8 (T)</t>
  </si>
  <si>
    <t xml:space="preserve">&gt; 0,6 - 0,9 (T) maximo 1,1 </t>
  </si>
  <si>
    <t>&gt; Motores grandes possuem mais área magnética e exigem maior confiabilidade térmica. Por isso, os valores</t>
  </si>
  <si>
    <t xml:space="preserve">de indução são mais conservadores, principalmente na coroa e entre-ferro para evitar saturação e </t>
  </si>
  <si>
    <t>percas magnéticas excessivas e dificuldade de refrigeração.</t>
  </si>
  <si>
    <t>&gt; Motores grandes (50 a 350+) 150 - 500 mWb</t>
  </si>
  <si>
    <r>
      <t xml:space="preserve">FLUXO TOTAL </t>
    </r>
    <r>
      <rPr>
        <b/>
        <sz val="11"/>
        <color theme="1"/>
        <rFont val="Calibri"/>
        <family val="2"/>
      </rPr>
      <t>∂</t>
    </r>
    <r>
      <rPr>
        <b/>
        <sz val="11"/>
        <color theme="1"/>
        <rFont val="Aptos Narrow"/>
        <family val="2"/>
        <scheme val="minor"/>
      </rPr>
      <t xml:space="preserve"> (Wb)</t>
    </r>
  </si>
  <si>
    <r>
      <t xml:space="preserve">FLUXO POR POLO </t>
    </r>
    <r>
      <rPr>
        <b/>
        <sz val="11"/>
        <color theme="1"/>
        <rFont val="Calibri"/>
        <family val="2"/>
      </rPr>
      <t>∂</t>
    </r>
    <r>
      <rPr>
        <b/>
        <sz val="11"/>
        <color theme="1"/>
        <rFont val="Aptos Narrow"/>
        <family val="2"/>
        <scheme val="minor"/>
      </rPr>
      <t xml:space="preserve"> (Wb)</t>
    </r>
  </si>
  <si>
    <t>&gt; Ele é responsável pela indução de tensão nas bobinas e pelo</t>
  </si>
  <si>
    <t xml:space="preserve">torque gerado no rotor. </t>
  </si>
  <si>
    <t xml:space="preserve">&gt; O valor do fluxo por polo depende da pôtencia, frequência e </t>
  </si>
  <si>
    <t>construção do motor.</t>
  </si>
  <si>
    <t>&gt; Fluxo por polo aumenta com a potência do motor</t>
  </si>
  <si>
    <t>&gt; Motores grandes trabalham com fluxos maiores e indução menor, para</t>
  </si>
  <si>
    <t>evitar a saturação</t>
  </si>
  <si>
    <t>OBS: 1 Wb = 1000 mWb</t>
  </si>
  <si>
    <t>Wb x mWb</t>
  </si>
  <si>
    <t>Para obter mWb:</t>
  </si>
  <si>
    <t>FATOR DE ENROLAMENTO</t>
  </si>
  <si>
    <t>D</t>
  </si>
  <si>
    <t>L</t>
  </si>
  <si>
    <t>BD</t>
  </si>
  <si>
    <t>HC</t>
  </si>
  <si>
    <t>H</t>
  </si>
  <si>
    <t>MM PARA CM</t>
  </si>
  <si>
    <t>MM PARA M</t>
  </si>
  <si>
    <t>1) ÁREA DO ENTREFERRO</t>
  </si>
  <si>
    <r>
      <t>ÁREA DO ENTRE-FERRO M</t>
    </r>
    <r>
      <rPr>
        <b/>
        <sz val="11"/>
        <color theme="1"/>
        <rFont val="Calibri"/>
        <family val="2"/>
      </rPr>
      <t>2</t>
    </r>
    <r>
      <rPr>
        <b/>
        <sz val="11"/>
        <color theme="1"/>
        <rFont val="Aptos Narrow"/>
        <family val="2"/>
        <scheme val="minor"/>
      </rPr>
      <t xml:space="preserve"> (AG)</t>
    </r>
  </si>
  <si>
    <t>2) CALCULO DE ESPIRAS</t>
  </si>
  <si>
    <t>TP:</t>
  </si>
  <si>
    <t>FLUXO ESTIMADO:</t>
  </si>
  <si>
    <t>ZF (ESPIRAS POR FASE):</t>
  </si>
  <si>
    <t>Z</t>
  </si>
  <si>
    <t>BOBINAS POR FASE</t>
  </si>
  <si>
    <t>GRUPOS POR FASE</t>
  </si>
  <si>
    <t>BOBINAS POR GRUPO</t>
  </si>
  <si>
    <t>FASES~~</t>
  </si>
  <si>
    <t>FLUXO TOTAL</t>
  </si>
  <si>
    <t>F=</t>
  </si>
  <si>
    <t>INDUÇÃO NO DENTE DO ESTATOR</t>
  </si>
  <si>
    <t>RELAÇÃO ENTRE-FERRO/DENTE</t>
  </si>
  <si>
    <t>2 - 2,5</t>
  </si>
  <si>
    <t>AC</t>
  </si>
  <si>
    <t>DX</t>
  </si>
  <si>
    <t>TENSÃO INDUZIDA</t>
  </si>
  <si>
    <t>CALCULADA</t>
  </si>
  <si>
    <t>E/V</t>
  </si>
  <si>
    <t>%</t>
  </si>
  <si>
    <t>&gt; Aceitavel (limite) 90% - 105%</t>
  </si>
  <si>
    <t>&gt; Ideal 95% - 100%</t>
  </si>
  <si>
    <t>&gt; Crítico: abaixo de 90% e acima de 105%</t>
  </si>
  <si>
    <t>&gt; Muito baixa &lt; 90% terá baixo torque, alta corrente de linha,</t>
  </si>
  <si>
    <t>rendimento ruim e motor "fraco" ou "sem força"'</t>
  </si>
  <si>
    <t>&gt; Acima de 105% terá saturação do núcleo, aquecimento excessivo,</t>
  </si>
  <si>
    <t>risco de isolamento do fio e pode queimar em sobrecarga</t>
  </si>
  <si>
    <t>! ACIMA DE 105% REDUZA ESPIRAS OU FLUXO!</t>
  </si>
  <si>
    <t xml:space="preserve">NOMINAL </t>
  </si>
  <si>
    <t>ÁREA DA RANHURA EM MM2</t>
  </si>
  <si>
    <t>conta1</t>
  </si>
  <si>
    <t>conta2</t>
  </si>
  <si>
    <t>conta3</t>
  </si>
  <si>
    <t>conta4</t>
  </si>
  <si>
    <t>CALCULO DE SÇÃO DO FIO EM MM2</t>
  </si>
  <si>
    <t>3XPARALELO</t>
  </si>
  <si>
    <t>DENSIDADE DE EM A/MM2 RECOMENDADO</t>
  </si>
  <si>
    <t>CONTA 1</t>
  </si>
  <si>
    <t>CONTA 2</t>
  </si>
  <si>
    <t>DADOS GERAIS DE BOBINAGEM FINAIS</t>
  </si>
  <si>
    <t>CALCULADORA DE FIO</t>
  </si>
  <si>
    <t>2 DUPLA - 1 ÚNICA</t>
  </si>
  <si>
    <r>
      <t xml:space="preserve">Y             </t>
    </r>
    <r>
      <rPr>
        <sz val="11"/>
        <color theme="1"/>
        <rFont val="Calibri"/>
        <family val="2"/>
      </rPr>
      <t>∆</t>
    </r>
  </si>
  <si>
    <t>CORRENTE POR PARALELO</t>
  </si>
  <si>
    <t>A</t>
  </si>
  <si>
    <t>&lt;</t>
  </si>
  <si>
    <t>CALCULO DE HARMONICAS 5, 7, 11, 13, 17</t>
  </si>
  <si>
    <t>PARES DE POLOS &gt;</t>
  </si>
  <si>
    <t>5ª a 7ª : se for maior que 0,3 corre risco de torque pulsante e ruído</t>
  </si>
  <si>
    <t>Ranhuras</t>
  </si>
  <si>
    <t>Pares de polos</t>
  </si>
  <si>
    <t>polos</t>
  </si>
  <si>
    <t xml:space="preserve">fases </t>
  </si>
  <si>
    <t>passo real</t>
  </si>
  <si>
    <t>passo completo</t>
  </si>
  <si>
    <t>q</t>
  </si>
  <si>
    <t>P</t>
  </si>
  <si>
    <t>p</t>
  </si>
  <si>
    <t>m</t>
  </si>
  <si>
    <t>y</t>
  </si>
  <si>
    <t>tp</t>
  </si>
  <si>
    <t>ranhuras por polo</t>
  </si>
  <si>
    <t>angulos elétricos (rad)</t>
  </si>
  <si>
    <t>ângulo de passo da bobina</t>
  </si>
  <si>
    <t>! ABAIXO DE 90% AUMENTE O NÚMERO DE ESPIRAS!</t>
  </si>
  <si>
    <t>W</t>
  </si>
  <si>
    <t>dm</t>
  </si>
  <si>
    <t>passo polar</t>
  </si>
  <si>
    <t>&lt;tp</t>
  </si>
  <si>
    <t>t</t>
  </si>
  <si>
    <t>V/m</t>
  </si>
  <si>
    <t>o motor está com superdimensionamento de execesso de cobre</t>
  </si>
  <si>
    <t>TENSÃO ESPECÍFICA</t>
  </si>
  <si>
    <t xml:space="preserve">POTÊNCIA ESPECIFICA </t>
  </si>
  <si>
    <t>TENSÃO especificada</t>
  </si>
  <si>
    <t xml:space="preserve">Faixas tipícas: </t>
  </si>
  <si>
    <t xml:space="preserve">A potência especifica é um parâmetro para verificar o </t>
  </si>
  <si>
    <t xml:space="preserve">dimensionamento em relação ao volume ativo (diâmetro do estator e </t>
  </si>
  <si>
    <t>indicar superdimensionamento com excesso de (cobre, ferro, etc.).</t>
  </si>
  <si>
    <t>extraida da massa do motor. E baixo rendimento</t>
  </si>
  <si>
    <t>próximo ao limite ou acima do limite, gerando superaquecimento,</t>
  </si>
  <si>
    <t xml:space="preserve">desgaste prematuro, sobrecarga térmica. </t>
  </si>
  <si>
    <t xml:space="preserve">POTÊNCIA ESPECÍFICA </t>
  </si>
  <si>
    <t>&gt; Acima de 6: Potência muito alta para o motor, pode está operando</t>
  </si>
  <si>
    <t>&gt; Abaixo de 2: Motor muito pesado para potência que entrega,pode</t>
  </si>
  <si>
    <t xml:space="preserve">&gt; Acima de 60 V/m podem causar sobreaquecimento e abaixo de 15 V/m </t>
  </si>
  <si>
    <t>&gt; Pode ter baixa eficiência térmica, pois menos potência está sendo</t>
  </si>
  <si>
    <t xml:space="preserve">&gt; 2 a 6 kW/m3 &gt; Alto rendimento 3,0 a 6,5 &gt; Superdimensionado 1,5 a 2,5 </t>
  </si>
  <si>
    <t>comprimento). Obs: pode verificar o quanto núclo suporta em potência.</t>
  </si>
  <si>
    <t>&gt; Pode ser um projeto subdimensionado para o núcleo do motor</t>
  </si>
  <si>
    <t>CALCULO DE CORRENTE (A)</t>
  </si>
  <si>
    <t>TENSÂO INDUZIDA</t>
  </si>
  <si>
    <t>fator de passo kp</t>
  </si>
  <si>
    <t>fator de distribuição kd</t>
  </si>
  <si>
    <t>Calculado</t>
  </si>
  <si>
    <t xml:space="preserve">fator de enrolamento </t>
  </si>
  <si>
    <t>(troque ''sen'' por ''radianos'')</t>
  </si>
  <si>
    <t>calcular passo eletrico</t>
  </si>
  <si>
    <t>rad</t>
  </si>
  <si>
    <t>fator de distribuição</t>
  </si>
  <si>
    <t xml:space="preserve">            GRUPOS POR FASE </t>
  </si>
  <si>
    <t xml:space="preserve">        BOBINAS POR GRUPO </t>
  </si>
  <si>
    <t xml:space="preserve">       RESISTÊNCIA DE FASE</t>
  </si>
  <si>
    <t xml:space="preserve">diametro medio </t>
  </si>
  <si>
    <t xml:space="preserve">comprimento das pernas </t>
  </si>
  <si>
    <t>l ranhura</t>
  </si>
  <si>
    <t>comprimento da cabeceira</t>
  </si>
  <si>
    <t>comprimento medio da espira</t>
  </si>
  <si>
    <t>resistencia por fase</t>
  </si>
  <si>
    <t>l por fase</t>
  </si>
  <si>
    <t>l por bobina</t>
  </si>
  <si>
    <t>l total por fase</t>
  </si>
  <si>
    <t>peso em kg</t>
  </si>
  <si>
    <t>TOTAL DE ESPIRA POR BOBINA</t>
  </si>
  <si>
    <t>SEÇÃO TOTAL EM mm2 PARA BOBINA</t>
  </si>
  <si>
    <t>PERCAS POR JOULE</t>
  </si>
  <si>
    <t>&gt; Motores pequenos (0,5 a 15 CV) 20 - 50 mWb</t>
  </si>
  <si>
    <t>&gt; Motores médios (15 a 30 CV) 50 - 120 mWb</t>
  </si>
  <si>
    <t>corrente calculada</t>
  </si>
  <si>
    <t>TABELA DE FIOS AWG</t>
  </si>
  <si>
    <t>MUDANÇA DE TENSÃO</t>
  </si>
  <si>
    <t>FERRAMENTAS SECUNDARIAS</t>
  </si>
  <si>
    <t xml:space="preserve">DADOS NECESSÁRIOS </t>
  </si>
  <si>
    <t>Número de espiras atual</t>
  </si>
  <si>
    <r>
      <t>Tensão atual (</t>
    </r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Aptos Narrow"/>
        <family val="2"/>
      </rPr>
      <t>)</t>
    </r>
  </si>
  <si>
    <r>
      <t>Nova tensão (</t>
    </r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Aptos Narrow"/>
        <family val="2"/>
      </rPr>
      <t>)</t>
    </r>
  </si>
  <si>
    <r>
      <t>Novas espiras para tensão (</t>
    </r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Aptos Narrow"/>
        <family val="2"/>
      </rPr>
      <t>)</t>
    </r>
  </si>
  <si>
    <r>
      <t>Nova seção do fio para tensão (</t>
    </r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Aptos Narrow"/>
        <family val="2"/>
      </rPr>
      <t>)</t>
    </r>
  </si>
  <si>
    <t>* Mantém o mesmo fechamento interno</t>
  </si>
  <si>
    <r>
      <t>220/380 usar 220 (</t>
    </r>
    <r>
      <rPr>
        <b/>
        <sz val="11"/>
        <color theme="1"/>
        <rFont val="Calibri"/>
        <family val="2"/>
      </rPr>
      <t>∆)</t>
    </r>
  </si>
  <si>
    <r>
      <t>380/660 usar 380 (</t>
    </r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Aptos Narrow"/>
        <family val="2"/>
      </rPr>
      <t>)</t>
    </r>
  </si>
  <si>
    <r>
      <t>220/380/440 (720) usar 440 (</t>
    </r>
    <r>
      <rPr>
        <b/>
        <sz val="11"/>
        <color theme="1"/>
        <rFont val="Calibri"/>
        <family val="2"/>
      </rPr>
      <t>∆)</t>
    </r>
  </si>
  <si>
    <t>MUDANÇA DE FREQUÊNCIA (Hz)</t>
  </si>
  <si>
    <t xml:space="preserve">Frequência atual </t>
  </si>
  <si>
    <t xml:space="preserve">Nova frequência </t>
  </si>
  <si>
    <t xml:space="preserve">Seção do fio atual </t>
  </si>
  <si>
    <t>Espiras atuais do motor</t>
  </si>
  <si>
    <t xml:space="preserve">Novas espiras </t>
  </si>
  <si>
    <t>mudança de frequencia</t>
  </si>
  <si>
    <t xml:space="preserve">mudança de tensão </t>
  </si>
  <si>
    <t>&gt; 2 e 4 polos 18 a 28 V/m  &gt; 6 e 8 polos 0,15 a 0,23 Padrões: 0,20 a 0,50</t>
  </si>
  <si>
    <t>5 a 50 CV : 4,5 a 6,5</t>
  </si>
  <si>
    <t>acima de 100 : 7,5 a 8,5</t>
  </si>
  <si>
    <t>devido à maior área superfi-</t>
  </si>
  <si>
    <t>cial para dissipação térmica</t>
  </si>
  <si>
    <t>KGauss</t>
  </si>
  <si>
    <t xml:space="preserve">Fator de enchimento de acrodo com área da ranhura </t>
  </si>
  <si>
    <t>60-100</t>
  </si>
  <si>
    <t>Seção atual do fio mm²</t>
  </si>
  <si>
    <t>Nova seção do fio em mm²</t>
  </si>
  <si>
    <t>mm²</t>
  </si>
  <si>
    <t>Referência A/mm²</t>
  </si>
  <si>
    <t>Até 1 CV : 3 a 4 A/mm²</t>
  </si>
  <si>
    <t xml:space="preserve">40-60 </t>
  </si>
  <si>
    <t>100-160</t>
  </si>
  <si>
    <t>160-260</t>
  </si>
  <si>
    <t>260-400</t>
  </si>
  <si>
    <t>400-700</t>
  </si>
  <si>
    <t>700-1100</t>
  </si>
  <si>
    <t>0,35-0,40</t>
  </si>
  <si>
    <t>0,38-0,43</t>
  </si>
  <si>
    <t>0,40-0,45</t>
  </si>
  <si>
    <t>0,42-0,48</t>
  </si>
  <si>
    <t>0,45-0,50</t>
  </si>
  <si>
    <t>0,47-0,52</t>
  </si>
  <si>
    <t>0,50-0,55</t>
  </si>
  <si>
    <t>* Não ultrapassar</t>
  </si>
  <si>
    <t>112M</t>
  </si>
  <si>
    <t>* Para cálculo deve-se usar a tensão em (∆)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</si>
</sst>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0.000000"/>
    <numFmt numFmtId="168" formatCode="0.0000000"/>
  </numFmts>
  <fonts count="46" x14ac:knownFonts="1">
    <font>
      <sz val="11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2"/>
      <color theme="6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sz val="11"/>
      <color theme="4"/>
      <name val="Aptos Narrow"/>
      <family val="2"/>
      <scheme val="minor"/>
    </font>
    <font>
      <i/>
      <sz val="11"/>
      <color theme="4" tint="0.39997558519241921"/>
      <name val="Aptos Narrow"/>
      <family val="2"/>
      <scheme val="minor"/>
    </font>
    <font>
      <b/>
      <sz val="12"/>
      <color theme="4" tint="0.39997558519241921"/>
      <name val="Aptos Narrow"/>
      <family val="2"/>
      <scheme val="minor"/>
    </font>
    <font>
      <b/>
      <sz val="14"/>
      <color theme="4" tint="0.3999755851924192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11"/>
      <color theme="6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7" tint="0.3999755851924192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4"/>
      <color theme="4" tint="0.39997558519241921"/>
      <name val="Aptos Narrow"/>
      <family val="2"/>
      <scheme val="minor"/>
    </font>
    <font>
      <b/>
      <i/>
      <sz val="14"/>
      <color theme="4" tint="0.39997558519241921"/>
      <name val="Aptos Narrow"/>
      <family val="2"/>
      <scheme val="minor"/>
    </font>
    <font>
      <i/>
      <sz val="14"/>
      <color theme="9"/>
      <name val="Aptos Narrow"/>
      <family val="2"/>
      <scheme val="minor"/>
    </font>
    <font>
      <b/>
      <i/>
      <sz val="11"/>
      <color theme="9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i/>
      <sz val="11"/>
      <color theme="7"/>
      <name val="Aptos Narrow"/>
      <family val="2"/>
      <scheme val="minor"/>
    </font>
    <font>
      <b/>
      <i/>
      <sz val="14"/>
      <color theme="7"/>
      <name val="Aptos Narrow"/>
      <family val="2"/>
      <scheme val="minor"/>
    </font>
    <font>
      <i/>
      <sz val="12"/>
      <color theme="7"/>
      <name val="Aptos Narrow"/>
      <family val="2"/>
      <scheme val="minor"/>
    </font>
    <font>
      <b/>
      <sz val="12"/>
      <color theme="7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i/>
      <sz val="11"/>
      <color theme="4" tint="0.3999755851924192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2" tint="-0.89999084444715716"/>
      <name val="Aptos Narrow"/>
      <family val="2"/>
      <scheme val="minor"/>
    </font>
    <font>
      <i/>
      <sz val="11"/>
      <color theme="6"/>
      <name val="Aptos Narrow"/>
      <family val="2"/>
      <scheme val="minor"/>
    </font>
    <font>
      <b/>
      <i/>
      <sz val="11"/>
      <color theme="7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05050"/>
      </left>
      <right/>
      <top/>
      <bottom style="thin">
        <color indexed="64"/>
      </bottom>
      <diagonal/>
    </border>
    <border>
      <left/>
      <right style="thin">
        <color rgb="FF50505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indexed="64"/>
      </bottom>
      <diagonal/>
    </border>
    <border>
      <left style="double">
        <color rgb="FF3F3F3F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rgb="FF3F3F3F"/>
      </right>
      <top style="thin">
        <color indexed="64"/>
      </top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rgb="FF505050"/>
      </left>
      <right style="dotted">
        <color rgb="FF505050"/>
      </right>
      <top style="dotted">
        <color rgb="FF505050"/>
      </top>
      <bottom style="dotted">
        <color rgb="FF505050"/>
      </bottom>
      <diagonal/>
    </border>
    <border>
      <left style="dotted">
        <color rgb="FF505050"/>
      </left>
      <right/>
      <top style="dotted">
        <color rgb="FF505050"/>
      </top>
      <bottom style="dotted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3" borderId="1" applyNumberFormat="0" applyAlignment="0" applyProtection="0"/>
  </cellStyleXfs>
  <cellXfs count="321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22" xfId="0" applyBorder="1"/>
    <xf numFmtId="0" fontId="0" fillId="2" borderId="22" xfId="0" applyFill="1" applyBorder="1"/>
    <xf numFmtId="0" fontId="5" fillId="4" borderId="0" xfId="0" applyFont="1" applyFill="1"/>
    <xf numFmtId="0" fontId="6" fillId="4" borderId="0" xfId="0" applyFont="1" applyFill="1"/>
    <xf numFmtId="0" fontId="0" fillId="4" borderId="0" xfId="0" applyFill="1"/>
    <xf numFmtId="0" fontId="0" fillId="4" borderId="22" xfId="0" applyFill="1" applyBorder="1"/>
    <xf numFmtId="0" fontId="2" fillId="4" borderId="0" xfId="0" applyFont="1" applyFill="1"/>
    <xf numFmtId="0" fontId="2" fillId="5" borderId="2" xfId="0" applyFont="1" applyFill="1" applyBorder="1" applyAlignment="1">
      <alignment horizontal="center"/>
    </xf>
    <xf numFmtId="0" fontId="2" fillId="2" borderId="0" xfId="0" applyFont="1" applyFill="1"/>
    <xf numFmtId="0" fontId="36" fillId="0" borderId="0" xfId="0" applyFont="1"/>
    <xf numFmtId="0" fontId="30" fillId="0" borderId="0" xfId="0" applyFont="1"/>
    <xf numFmtId="0" fontId="0" fillId="4" borderId="7" xfId="0" applyFill="1" applyBorder="1" applyProtection="1">
      <protection locked="0"/>
    </xf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7" xfId="0" applyFill="1" applyBorder="1" applyProtection="1">
      <protection locked="0"/>
    </xf>
    <xf numFmtId="0" fontId="0" fillId="4" borderId="7" xfId="0" applyFill="1" applyBorder="1"/>
    <xf numFmtId="0" fontId="0" fillId="4" borderId="0" xfId="0" applyFill="1" applyAlignment="1">
      <alignment horizontal="left"/>
    </xf>
    <xf numFmtId="0" fontId="0" fillId="4" borderId="0" xfId="1" applyFont="1" applyFill="1" applyProtection="1"/>
    <xf numFmtId="0" fontId="2" fillId="4" borderId="0" xfId="0" applyFont="1" applyFill="1" applyAlignment="1">
      <alignment horizontal="center"/>
    </xf>
    <xf numFmtId="0" fontId="0" fillId="2" borderId="7" xfId="0" applyFill="1" applyBorder="1"/>
    <xf numFmtId="0" fontId="42" fillId="0" borderId="0" xfId="0" applyFont="1"/>
    <xf numFmtId="0" fontId="0" fillId="4" borderId="0" xfId="0" applyFill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0" xfId="0" applyFont="1" applyFill="1" applyProtection="1">
      <protection locked="0"/>
    </xf>
    <xf numFmtId="0" fontId="6" fillId="4" borderId="0" xfId="0" applyFont="1" applyFill="1" applyProtection="1">
      <protection locked="0"/>
    </xf>
    <xf numFmtId="0" fontId="5" fillId="4" borderId="0" xfId="0" applyFont="1" applyFill="1" applyProtection="1">
      <protection locked="0"/>
    </xf>
    <xf numFmtId="0" fontId="0" fillId="4" borderId="22" xfId="0" applyFill="1" applyBorder="1" applyProtection="1">
      <protection locked="0"/>
    </xf>
    <xf numFmtId="0" fontId="7" fillId="4" borderId="0" xfId="0" applyFont="1" applyFill="1"/>
    <xf numFmtId="0" fontId="15" fillId="4" borderId="0" xfId="0" applyFont="1" applyFill="1"/>
    <xf numFmtId="0" fontId="37" fillId="4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0" fillId="4" borderId="29" xfId="0" applyFill="1" applyBorder="1" applyProtection="1">
      <protection locked="0"/>
    </xf>
    <xf numFmtId="0" fontId="0" fillId="4" borderId="0" xfId="0" applyFill="1" applyAlignment="1">
      <alignment horizontal="center"/>
    </xf>
    <xf numFmtId="165" fontId="36" fillId="0" borderId="2" xfId="0" applyNumberFormat="1" applyFont="1" applyBorder="1" applyAlignment="1">
      <alignment horizontal="center"/>
    </xf>
    <xf numFmtId="2" fontId="36" fillId="0" borderId="2" xfId="0" applyNumberFormat="1" applyFont="1" applyBorder="1" applyAlignment="1">
      <alignment horizontal="center"/>
    </xf>
    <xf numFmtId="0" fontId="0" fillId="4" borderId="14" xfId="0" applyFill="1" applyBorder="1"/>
    <xf numFmtId="0" fontId="0" fillId="0" borderId="14" xfId="0" applyBorder="1"/>
    <xf numFmtId="164" fontId="36" fillId="4" borderId="3" xfId="0" applyNumberFormat="1" applyFont="1" applyFill="1" applyBorder="1" applyAlignment="1">
      <alignment horizontal="center"/>
    </xf>
    <xf numFmtId="165" fontId="8" fillId="0" borderId="2" xfId="0" applyNumberFormat="1" applyFont="1" applyBorder="1" applyAlignment="1" applyProtection="1">
      <alignment horizontal="center"/>
      <protection locked="0"/>
    </xf>
    <xf numFmtId="0" fontId="0" fillId="4" borderId="18" xfId="0" applyFill="1" applyBorder="1" applyProtection="1">
      <protection locked="0"/>
    </xf>
    <xf numFmtId="0" fontId="0" fillId="4" borderId="46" xfId="0" applyFill="1" applyBorder="1" applyProtection="1">
      <protection locked="0"/>
    </xf>
    <xf numFmtId="0" fontId="8" fillId="4" borderId="22" xfId="0" applyFont="1" applyFill="1" applyBorder="1" applyProtection="1">
      <protection locked="0"/>
    </xf>
    <xf numFmtId="0" fontId="8" fillId="4" borderId="0" xfId="0" applyFont="1" applyFill="1" applyProtection="1">
      <protection locked="0"/>
    </xf>
    <xf numFmtId="2" fontId="2" fillId="4" borderId="0" xfId="0" applyNumberFormat="1" applyFont="1" applyFill="1" applyAlignment="1" applyProtection="1">
      <alignment horizontal="center"/>
      <protection locked="0"/>
    </xf>
    <xf numFmtId="0" fontId="2" fillId="7" borderId="42" xfId="0" applyFont="1" applyFill="1" applyBorder="1" applyProtection="1">
      <protection locked="0"/>
    </xf>
    <xf numFmtId="0" fontId="0" fillId="7" borderId="43" xfId="0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4" borderId="30" xfId="0" applyFill="1" applyBorder="1" applyProtection="1">
      <protection locked="0"/>
    </xf>
    <xf numFmtId="0" fontId="36" fillId="4" borderId="0" xfId="0" applyFont="1" applyFill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0" fontId="16" fillId="0" borderId="0" xfId="0" applyFont="1" applyProtection="1">
      <protection locked="0"/>
    </xf>
    <xf numFmtId="0" fontId="30" fillId="4" borderId="0" xfId="0" applyFont="1" applyFill="1" applyProtection="1">
      <protection locked="0"/>
    </xf>
    <xf numFmtId="0" fontId="5" fillId="4" borderId="28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18" xfId="0" applyFont="1" applyFill="1" applyBorder="1"/>
    <xf numFmtId="0" fontId="2" fillId="4" borderId="20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22" fillId="4" borderId="0" xfId="0" applyFont="1" applyFill="1" applyProtection="1">
      <protection locked="0"/>
    </xf>
    <xf numFmtId="0" fontId="22" fillId="4" borderId="22" xfId="0" applyFont="1" applyFill="1" applyBorder="1" applyProtection="1">
      <protection locked="0"/>
    </xf>
    <xf numFmtId="0" fontId="0" fillId="4" borderId="23" xfId="0" applyFill="1" applyBorder="1" applyAlignment="1" applyProtection="1">
      <alignment horizontal="center"/>
      <protection locked="0"/>
    </xf>
    <xf numFmtId="165" fontId="36" fillId="4" borderId="39" xfId="0" applyNumberFormat="1" applyFont="1" applyFill="1" applyBorder="1" applyAlignment="1" applyProtection="1">
      <alignment horizontal="center"/>
      <protection locked="0"/>
    </xf>
    <xf numFmtId="164" fontId="0" fillId="4" borderId="22" xfId="0" applyNumberFormat="1" applyFill="1" applyBorder="1" applyProtection="1">
      <protection locked="0"/>
    </xf>
    <xf numFmtId="0" fontId="36" fillId="4" borderId="24" xfId="0" applyFont="1" applyFill="1" applyBorder="1" applyAlignment="1" applyProtection="1">
      <alignment horizontal="center"/>
      <protection locked="0"/>
    </xf>
    <xf numFmtId="2" fontId="21" fillId="4" borderId="24" xfId="0" applyNumberFormat="1" applyFont="1" applyFill="1" applyBorder="1" applyAlignment="1" applyProtection="1">
      <alignment horizontal="center"/>
      <protection locked="0"/>
    </xf>
    <xf numFmtId="0" fontId="6" fillId="4" borderId="23" xfId="0" applyFont="1" applyFill="1" applyBorder="1" applyProtection="1">
      <protection locked="0"/>
    </xf>
    <xf numFmtId="43" fontId="6" fillId="4" borderId="0" xfId="0" applyNumberFormat="1" applyFont="1" applyFill="1" applyProtection="1">
      <protection locked="0"/>
    </xf>
    <xf numFmtId="0" fontId="23" fillId="4" borderId="23" xfId="0" applyFont="1" applyFill="1" applyBorder="1" applyProtection="1">
      <protection locked="0"/>
    </xf>
    <xf numFmtId="0" fontId="31" fillId="4" borderId="23" xfId="0" applyFont="1" applyFill="1" applyBorder="1" applyProtection="1">
      <protection locked="0"/>
    </xf>
    <xf numFmtId="0" fontId="0" fillId="4" borderId="23" xfId="0" applyFill="1" applyBorder="1" applyProtection="1">
      <protection locked="0"/>
    </xf>
    <xf numFmtId="0" fontId="5" fillId="4" borderId="23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42" fillId="0" borderId="0" xfId="0" applyFont="1" applyProtection="1">
      <protection locked="0"/>
    </xf>
    <xf numFmtId="164" fontId="36" fillId="4" borderId="24" xfId="0" applyNumberFormat="1" applyFont="1" applyFill="1" applyBorder="1" applyAlignment="1">
      <alignment horizontal="center"/>
    </xf>
    <xf numFmtId="2" fontId="12" fillId="4" borderId="0" xfId="0" applyNumberFormat="1" applyFont="1" applyFill="1" applyAlignment="1">
      <alignment vertical="center"/>
    </xf>
    <xf numFmtId="0" fontId="31" fillId="4" borderId="0" xfId="0" applyFont="1" applyFill="1"/>
    <xf numFmtId="2" fontId="32" fillId="4" borderId="0" xfId="0" applyNumberFormat="1" applyFont="1" applyFill="1" applyAlignment="1">
      <alignment vertical="center"/>
    </xf>
    <xf numFmtId="2" fontId="23" fillId="4" borderId="0" xfId="0" applyNumberFormat="1" applyFont="1" applyFill="1" applyAlignment="1">
      <alignment vertical="center"/>
    </xf>
    <xf numFmtId="2" fontId="27" fillId="4" borderId="0" xfId="0" applyNumberFormat="1" applyFont="1" applyFill="1" applyAlignment="1">
      <alignment vertical="center"/>
    </xf>
    <xf numFmtId="0" fontId="23" fillId="4" borderId="0" xfId="0" applyFont="1" applyFill="1"/>
    <xf numFmtId="2" fontId="27" fillId="4" borderId="30" xfId="0" applyNumberFormat="1" applyFont="1" applyFill="1" applyBorder="1" applyAlignment="1">
      <alignment vertical="center"/>
    </xf>
    <xf numFmtId="0" fontId="23" fillId="4" borderId="22" xfId="0" applyFont="1" applyFill="1" applyBorder="1"/>
    <xf numFmtId="165" fontId="32" fillId="4" borderId="0" xfId="0" applyNumberFormat="1" applyFont="1" applyFill="1" applyAlignment="1">
      <alignment vertical="center"/>
    </xf>
    <xf numFmtId="165" fontId="23" fillId="4" borderId="0" xfId="0" applyNumberFormat="1" applyFont="1" applyFill="1" applyAlignment="1">
      <alignment vertical="center"/>
    </xf>
    <xf numFmtId="165" fontId="27" fillId="4" borderId="0" xfId="0" applyNumberFormat="1" applyFont="1" applyFill="1" applyAlignment="1">
      <alignment vertical="center"/>
    </xf>
    <xf numFmtId="0" fontId="28" fillId="4" borderId="0" xfId="0" applyFont="1" applyFill="1"/>
    <xf numFmtId="0" fontId="29" fillId="4" borderId="22" xfId="0" applyFont="1" applyFill="1" applyBorder="1"/>
    <xf numFmtId="165" fontId="2" fillId="6" borderId="24" xfId="0" applyNumberFormat="1" applyFont="1" applyFill="1" applyBorder="1" applyAlignment="1">
      <alignment horizontal="center"/>
    </xf>
    <xf numFmtId="0" fontId="5" fillId="4" borderId="28" xfId="0" applyFont="1" applyFill="1" applyBorder="1"/>
    <xf numFmtId="0" fontId="5" fillId="4" borderId="18" xfId="0" applyFont="1" applyFill="1" applyBorder="1"/>
    <xf numFmtId="0" fontId="23" fillId="4" borderId="18" xfId="0" applyFont="1" applyFill="1" applyBorder="1"/>
    <xf numFmtId="0" fontId="23" fillId="4" borderId="29" xfId="0" applyFont="1" applyFill="1" applyBorder="1"/>
    <xf numFmtId="0" fontId="9" fillId="2" borderId="0" xfId="0" applyFont="1" applyFill="1"/>
    <xf numFmtId="0" fontId="5" fillId="2" borderId="0" xfId="0" applyFont="1" applyFill="1"/>
    <xf numFmtId="0" fontId="5" fillId="2" borderId="19" xfId="0" applyFont="1" applyFill="1" applyBorder="1"/>
    <xf numFmtId="0" fontId="2" fillId="4" borderId="22" xfId="0" applyFont="1" applyFill="1" applyBorder="1"/>
    <xf numFmtId="2" fontId="35" fillId="0" borderId="24" xfId="0" applyNumberFormat="1" applyFont="1" applyBorder="1" applyAlignment="1">
      <alignment horizontal="center"/>
    </xf>
    <xf numFmtId="0" fontId="30" fillId="4" borderId="0" xfId="0" applyFont="1" applyFill="1"/>
    <xf numFmtId="0" fontId="33" fillId="4" borderId="0" xfId="0" applyFont="1" applyFill="1"/>
    <xf numFmtId="0" fontId="33" fillId="4" borderId="22" xfId="0" applyFont="1" applyFill="1" applyBorder="1"/>
    <xf numFmtId="0" fontId="33" fillId="4" borderId="28" xfId="0" applyFont="1" applyFill="1" applyBorder="1"/>
    <xf numFmtId="0" fontId="33" fillId="4" borderId="18" xfId="0" applyFont="1" applyFill="1" applyBorder="1"/>
    <xf numFmtId="0" fontId="30" fillId="4" borderId="18" xfId="0" applyFont="1" applyFill="1" applyBorder="1"/>
    <xf numFmtId="0" fontId="6" fillId="4" borderId="22" xfId="0" applyFont="1" applyFill="1" applyBorder="1"/>
    <xf numFmtId="0" fontId="24" fillId="4" borderId="0" xfId="0" applyFont="1" applyFill="1"/>
    <xf numFmtId="2" fontId="25" fillId="4" borderId="0" xfId="0" applyNumberFormat="1" applyFont="1" applyFill="1" applyAlignment="1">
      <alignment vertical="center"/>
    </xf>
    <xf numFmtId="0" fontId="25" fillId="4" borderId="0" xfId="0" applyFont="1" applyFill="1" applyAlignment="1">
      <alignment vertical="center"/>
    </xf>
    <xf numFmtId="2" fontId="26" fillId="4" borderId="0" xfId="0" applyNumberFormat="1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24" fillId="4" borderId="18" xfId="0" applyFont="1" applyFill="1" applyBorder="1"/>
    <xf numFmtId="0" fontId="0" fillId="4" borderId="18" xfId="0" applyFill="1" applyBorder="1"/>
    <xf numFmtId="0" fontId="0" fillId="2" borderId="32" xfId="0" applyFill="1" applyBorder="1"/>
    <xf numFmtId="0" fontId="0" fillId="2" borderId="19" xfId="0" applyFill="1" applyBorder="1"/>
    <xf numFmtId="2" fontId="12" fillId="2" borderId="19" xfId="0" applyNumberFormat="1" applyFont="1" applyFill="1" applyBorder="1" applyAlignment="1">
      <alignment vertical="center"/>
    </xf>
    <xf numFmtId="0" fontId="12" fillId="2" borderId="19" xfId="0" applyFont="1" applyFill="1" applyBorder="1" applyAlignment="1">
      <alignment vertical="center"/>
    </xf>
    <xf numFmtId="0" fontId="38" fillId="4" borderId="0" xfId="0" applyFont="1" applyFill="1" applyAlignment="1">
      <alignment vertical="center"/>
    </xf>
    <xf numFmtId="0" fontId="39" fillId="4" borderId="0" xfId="0" applyFont="1" applyFill="1" applyAlignment="1">
      <alignment vertical="center"/>
    </xf>
    <xf numFmtId="0" fontId="18" fillId="4" borderId="0" xfId="0" applyFont="1" applyFill="1"/>
    <xf numFmtId="0" fontId="18" fillId="4" borderId="22" xfId="0" applyFont="1" applyFill="1" applyBorder="1"/>
    <xf numFmtId="0" fontId="29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0" fontId="18" fillId="4" borderId="22" xfId="0" applyFont="1" applyFill="1" applyBorder="1" applyAlignment="1">
      <alignment horizontal="center"/>
    </xf>
    <xf numFmtId="0" fontId="17" fillId="4" borderId="0" xfId="0" applyFont="1" applyFill="1"/>
    <xf numFmtId="0" fontId="17" fillId="4" borderId="22" xfId="0" applyFont="1" applyFill="1" applyBorder="1"/>
    <xf numFmtId="0" fontId="2" fillId="4" borderId="0" xfId="2" applyFont="1" applyFill="1" applyBorder="1" applyAlignment="1" applyProtection="1">
      <alignment horizontal="center"/>
    </xf>
    <xf numFmtId="0" fontId="2" fillId="4" borderId="0" xfId="2" applyFont="1" applyFill="1" applyBorder="1" applyAlignment="1" applyProtection="1"/>
    <xf numFmtId="165" fontId="0" fillId="4" borderId="0" xfId="0" applyNumberForma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8" fillId="4" borderId="18" xfId="0" applyFont="1" applyFill="1" applyBorder="1"/>
    <xf numFmtId="165" fontId="8" fillId="4" borderId="18" xfId="0" applyNumberFormat="1" applyFont="1" applyFill="1" applyBorder="1" applyAlignment="1">
      <alignment horizontal="center"/>
    </xf>
    <xf numFmtId="0" fontId="0" fillId="4" borderId="29" xfId="0" applyFill="1" applyBorder="1"/>
    <xf numFmtId="0" fontId="0" fillId="0" borderId="0" xfId="0" applyAlignment="1">
      <alignment horizontal="center"/>
    </xf>
    <xf numFmtId="0" fontId="2" fillId="0" borderId="0" xfId="0" applyFont="1"/>
    <xf numFmtId="164" fontId="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/>
    <xf numFmtId="0" fontId="35" fillId="4" borderId="24" xfId="0" applyFont="1" applyFill="1" applyBorder="1" applyAlignment="1">
      <alignment horizontal="center"/>
    </xf>
    <xf numFmtId="0" fontId="0" fillId="0" borderId="0" xfId="0" applyAlignment="1">
      <alignment horizontal="left"/>
    </xf>
    <xf numFmtId="2" fontId="8" fillId="0" borderId="3" xfId="0" applyNumberFormat="1" applyFont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165" fontId="36" fillId="4" borderId="2" xfId="0" applyNumberFormat="1" applyFont="1" applyFill="1" applyBorder="1" applyAlignment="1">
      <alignment horizontal="center"/>
    </xf>
    <xf numFmtId="165" fontId="36" fillId="0" borderId="3" xfId="0" applyNumberFormat="1" applyFont="1" applyBorder="1" applyAlignment="1">
      <alignment horizontal="center"/>
    </xf>
    <xf numFmtId="0" fontId="8" fillId="4" borderId="22" xfId="0" applyFont="1" applyFill="1" applyBorder="1"/>
    <xf numFmtId="2" fontId="2" fillId="4" borderId="0" xfId="0" applyNumberFormat="1" applyFont="1" applyFill="1" applyAlignment="1">
      <alignment horizontal="center"/>
    </xf>
    <xf numFmtId="0" fontId="0" fillId="4" borderId="0" xfId="0" applyFill="1" applyBorder="1"/>
    <xf numFmtId="0" fontId="6" fillId="4" borderId="22" xfId="0" applyFont="1" applyFill="1" applyBorder="1" applyProtection="1">
      <protection locked="0"/>
    </xf>
    <xf numFmtId="0" fontId="6" fillId="4" borderId="0" xfId="0" applyFont="1" applyFill="1" applyAlignment="1">
      <alignment horizontal="left"/>
    </xf>
    <xf numFmtId="0" fontId="2" fillId="5" borderId="24" xfId="0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/>
      <protection locked="0"/>
    </xf>
    <xf numFmtId="0" fontId="43" fillId="5" borderId="2" xfId="0" applyFont="1" applyFill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29" fillId="4" borderId="0" xfId="0" applyFont="1" applyFill="1"/>
    <xf numFmtId="0" fontId="44" fillId="4" borderId="0" xfId="0" applyFont="1" applyFill="1"/>
    <xf numFmtId="0" fontId="24" fillId="4" borderId="0" xfId="0" applyFont="1" applyFill="1" applyBorder="1" applyProtection="1">
      <protection locked="0"/>
    </xf>
    <xf numFmtId="0" fontId="24" fillId="4" borderId="47" xfId="0" applyFont="1" applyFill="1" applyBorder="1" applyAlignment="1" applyProtection="1">
      <alignment horizontal="center"/>
      <protection locked="0"/>
    </xf>
    <xf numFmtId="0" fontId="24" fillId="4" borderId="48" xfId="0" applyFont="1" applyFill="1" applyBorder="1" applyAlignment="1">
      <alignment horizontal="center"/>
    </xf>
    <xf numFmtId="0" fontId="24" fillId="4" borderId="47" xfId="0" applyFont="1" applyFill="1" applyBorder="1" applyAlignment="1">
      <alignment horizontal="center"/>
    </xf>
    <xf numFmtId="0" fontId="24" fillId="4" borderId="48" xfId="0" applyFont="1" applyFill="1" applyBorder="1" applyAlignment="1" applyProtection="1">
      <alignment horizontal="center"/>
      <protection locked="0"/>
    </xf>
    <xf numFmtId="0" fontId="23" fillId="0" borderId="22" xfId="0" applyFont="1" applyBorder="1"/>
    <xf numFmtId="0" fontId="6" fillId="4" borderId="0" xfId="0" applyFont="1" applyFill="1" applyAlignment="1">
      <alignment horizontal="center"/>
    </xf>
    <xf numFmtId="0" fontId="21" fillId="4" borderId="0" xfId="0" applyFont="1" applyFill="1"/>
    <xf numFmtId="0" fontId="21" fillId="4" borderId="22" xfId="0" applyFont="1" applyFill="1" applyBorder="1"/>
    <xf numFmtId="0" fontId="24" fillId="4" borderId="22" xfId="0" applyFont="1" applyFill="1" applyBorder="1"/>
    <xf numFmtId="0" fontId="45" fillId="4" borderId="0" xfId="0" applyFont="1" applyFill="1" applyProtection="1">
      <protection locked="0"/>
    </xf>
    <xf numFmtId="0" fontId="41" fillId="4" borderId="22" xfId="0" applyFont="1" applyFill="1" applyBorder="1"/>
    <xf numFmtId="0" fontId="41" fillId="4" borderId="0" xfId="0" applyFont="1" applyFill="1"/>
    <xf numFmtId="165" fontId="8" fillId="0" borderId="8" xfId="0" applyNumberFormat="1" applyFont="1" applyBorder="1" applyAlignment="1">
      <alignment horizontal="center"/>
    </xf>
    <xf numFmtId="0" fontId="21" fillId="4" borderId="0" xfId="0" applyFont="1" applyFill="1" applyProtection="1">
      <protection locked="0"/>
    </xf>
    <xf numFmtId="0" fontId="21" fillId="4" borderId="22" xfId="0" applyFont="1" applyFill="1" applyBorder="1" applyProtection="1">
      <protection locked="0"/>
    </xf>
    <xf numFmtId="2" fontId="21" fillId="4" borderId="0" xfId="0" applyNumberFormat="1" applyFont="1" applyFill="1" applyProtection="1">
      <protection locked="0"/>
    </xf>
    <xf numFmtId="0" fontId="23" fillId="4" borderId="0" xfId="0" applyFont="1" applyFill="1" applyProtection="1">
      <protection locked="0"/>
    </xf>
    <xf numFmtId="0" fontId="24" fillId="4" borderId="0" xfId="0" applyFont="1" applyFill="1" applyProtection="1">
      <protection locked="0"/>
    </xf>
    <xf numFmtId="0" fontId="24" fillId="4" borderId="22" xfId="0" applyFont="1" applyFill="1" applyBorder="1" applyProtection="1">
      <protection locked="0"/>
    </xf>
    <xf numFmtId="0" fontId="23" fillId="4" borderId="22" xfId="0" applyFont="1" applyFill="1" applyBorder="1" applyProtection="1">
      <protection locked="0"/>
    </xf>
    <xf numFmtId="164" fontId="23" fillId="4" borderId="22" xfId="0" applyNumberFormat="1" applyFont="1" applyFill="1" applyBorder="1" applyProtection="1">
      <protection locked="0"/>
    </xf>
    <xf numFmtId="0" fontId="23" fillId="4" borderId="45" xfId="0" applyFont="1" applyFill="1" applyBorder="1" applyProtection="1">
      <protection locked="0"/>
    </xf>
    <xf numFmtId="0" fontId="10" fillId="4" borderId="22" xfId="0" applyFont="1" applyFill="1" applyBorder="1" applyProtection="1">
      <protection locked="0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165" fontId="2" fillId="5" borderId="25" xfId="0" applyNumberFormat="1" applyFont="1" applyFill="1" applyBorder="1" applyAlignment="1">
      <alignment horizontal="center"/>
    </xf>
    <xf numFmtId="165" fontId="2" fillId="5" borderId="26" xfId="0" applyNumberFormat="1" applyFont="1" applyFill="1" applyBorder="1" applyAlignment="1">
      <alignment horizontal="center"/>
    </xf>
    <xf numFmtId="1" fontId="41" fillId="0" borderId="25" xfId="0" applyNumberFormat="1" applyFont="1" applyBorder="1" applyAlignment="1">
      <alignment horizontal="center"/>
    </xf>
    <xf numFmtId="1" fontId="41" fillId="0" borderId="26" xfId="0" applyNumberFormat="1" applyFont="1" applyBorder="1" applyAlignment="1">
      <alignment horizontal="center"/>
    </xf>
    <xf numFmtId="0" fontId="41" fillId="0" borderId="25" xfId="0" applyFont="1" applyBorder="1" applyAlignment="1">
      <alignment horizontal="center"/>
    </xf>
    <xf numFmtId="0" fontId="41" fillId="0" borderId="26" xfId="0" applyFont="1" applyBorder="1" applyAlignment="1">
      <alignment horizontal="center"/>
    </xf>
    <xf numFmtId="165" fontId="41" fillId="0" borderId="25" xfId="0" applyNumberFormat="1" applyFont="1" applyBorder="1" applyAlignment="1">
      <alignment horizontal="center"/>
    </xf>
    <xf numFmtId="165" fontId="41" fillId="0" borderId="27" xfId="0" applyNumberFormat="1" applyFont="1" applyBorder="1" applyAlignment="1">
      <alignment horizontal="center"/>
    </xf>
    <xf numFmtId="165" fontId="41" fillId="0" borderId="26" xfId="0" applyNumberFormat="1" applyFont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7" borderId="42" xfId="0" applyFont="1" applyFill="1" applyBorder="1" applyAlignment="1" applyProtection="1">
      <alignment horizontal="center"/>
      <protection locked="0"/>
    </xf>
    <xf numFmtId="0" fontId="2" fillId="7" borderId="43" xfId="0" applyFont="1" applyFill="1" applyBorder="1" applyAlignment="1" applyProtection="1">
      <alignment horizontal="center"/>
      <protection locked="0"/>
    </xf>
    <xf numFmtId="0" fontId="2" fillId="7" borderId="44" xfId="0" applyFont="1" applyFill="1" applyBorder="1" applyAlignment="1" applyProtection="1">
      <alignment horizontal="center"/>
      <protection locked="0"/>
    </xf>
    <xf numFmtId="0" fontId="2" fillId="0" borderId="42" xfId="0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/>
      <protection locked="0"/>
    </xf>
    <xf numFmtId="0" fontId="2" fillId="0" borderId="44" xfId="0" applyFont="1" applyBorder="1" applyAlignment="1" applyProtection="1">
      <alignment horizontal="center"/>
      <protection locked="0"/>
    </xf>
    <xf numFmtId="2" fontId="36" fillId="0" borderId="28" xfId="0" applyNumberFormat="1" applyFont="1" applyBorder="1" applyAlignment="1" applyProtection="1">
      <alignment horizontal="center"/>
      <protection locked="0"/>
    </xf>
    <xf numFmtId="2" fontId="36" fillId="0" borderId="18" xfId="0" applyNumberFormat="1" applyFont="1" applyBorder="1" applyAlignment="1" applyProtection="1">
      <alignment horizontal="center"/>
      <protection locked="0"/>
    </xf>
    <xf numFmtId="2" fontId="36" fillId="0" borderId="29" xfId="0" applyNumberFormat="1" applyFont="1" applyBorder="1" applyAlignment="1" applyProtection="1">
      <alignment horizontal="center"/>
      <protection locked="0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4" borderId="33" xfId="2" applyFont="1" applyFill="1" applyBorder="1" applyAlignment="1">
      <alignment horizontal="center"/>
    </xf>
    <xf numFmtId="0" fontId="2" fillId="4" borderId="37" xfId="2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2" fontId="12" fillId="0" borderId="3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0" fontId="2" fillId="4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41" fillId="4" borderId="15" xfId="0" applyFont="1" applyFill="1" applyBorder="1" applyAlignment="1">
      <alignment horizontal="center"/>
    </xf>
    <xf numFmtId="0" fontId="41" fillId="4" borderId="1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166" fontId="11" fillId="0" borderId="25" xfId="0" applyNumberFormat="1" applyFont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/>
    </xf>
    <xf numFmtId="166" fontId="11" fillId="0" borderId="27" xfId="0" applyNumberFormat="1" applyFont="1" applyBorder="1" applyAlignment="1">
      <alignment horizontal="center" vertical="center"/>
    </xf>
    <xf numFmtId="0" fontId="2" fillId="4" borderId="1" xfId="2" applyFont="1" applyFill="1" applyAlignment="1" applyProtection="1">
      <alignment horizontal="center"/>
    </xf>
    <xf numFmtId="0" fontId="2" fillId="4" borderId="33" xfId="2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5" borderId="4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0" fillId="4" borderId="18" xfId="0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2" fontId="12" fillId="0" borderId="9" xfId="0" applyNumberFormat="1" applyFont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2" fillId="4" borderId="1" xfId="2" applyFont="1" applyFill="1" applyAlignment="1" applyProtection="1">
      <alignment horizontal="center"/>
      <protection locked="0"/>
    </xf>
    <xf numFmtId="0" fontId="13" fillId="4" borderId="6" xfId="0" applyFont="1" applyFill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35" xfId="2" applyFont="1" applyFill="1" applyBorder="1" applyAlignment="1" applyProtection="1">
      <alignment horizontal="center"/>
      <protection locked="0"/>
    </xf>
    <xf numFmtId="0" fontId="2" fillId="4" borderId="36" xfId="2" applyFont="1" applyFill="1" applyBorder="1" applyAlignment="1" applyProtection="1">
      <alignment horizontal="center"/>
      <protection locked="0"/>
    </xf>
    <xf numFmtId="0" fontId="2" fillId="4" borderId="34" xfId="2" applyFont="1" applyFill="1" applyBorder="1" applyAlignment="1" applyProtection="1">
      <alignment horizontal="center"/>
    </xf>
    <xf numFmtId="0" fontId="2" fillId="4" borderId="35" xfId="2" applyFont="1" applyFill="1" applyBorder="1" applyAlignment="1" applyProtection="1">
      <alignment horizontal="center"/>
    </xf>
    <xf numFmtId="0" fontId="2" fillId="4" borderId="36" xfId="2" applyFont="1" applyFill="1" applyBorder="1" applyAlignment="1" applyProtection="1">
      <alignment horizontal="center"/>
    </xf>
    <xf numFmtId="0" fontId="2" fillId="4" borderId="23" xfId="0" applyFont="1" applyFill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165" fontId="36" fillId="0" borderId="25" xfId="0" applyNumberFormat="1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11" fillId="0" borderId="32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29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166" fontId="34" fillId="0" borderId="25" xfId="0" applyNumberFormat="1" applyFont="1" applyBorder="1" applyAlignment="1">
      <alignment horizontal="center"/>
    </xf>
    <xf numFmtId="166" fontId="34" fillId="0" borderId="27" xfId="0" applyNumberFormat="1" applyFont="1" applyBorder="1" applyAlignment="1">
      <alignment horizontal="center"/>
    </xf>
    <xf numFmtId="166" fontId="34" fillId="0" borderId="26" xfId="0" applyNumberFormat="1" applyFont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165" fontId="36" fillId="0" borderId="28" xfId="0" applyNumberFormat="1" applyFont="1" applyBorder="1" applyAlignment="1" applyProtection="1">
      <alignment horizontal="center"/>
      <protection locked="0"/>
    </xf>
    <xf numFmtId="0" fontId="36" fillId="0" borderId="18" xfId="0" applyFont="1" applyBorder="1" applyAlignment="1" applyProtection="1">
      <alignment horizontal="center"/>
      <protection locked="0"/>
    </xf>
    <xf numFmtId="0" fontId="36" fillId="0" borderId="29" xfId="0" applyFont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"/>
    </xf>
    <xf numFmtId="164" fontId="2" fillId="5" borderId="31" xfId="0" applyNumberFormat="1" applyFont="1" applyFill="1" applyBorder="1" applyAlignment="1">
      <alignment horizontal="center" vertical="center"/>
    </xf>
    <xf numFmtId="164" fontId="2" fillId="5" borderId="39" xfId="0" applyNumberFormat="1" applyFont="1" applyFill="1" applyBorder="1" applyAlignment="1">
      <alignment horizontal="center" vertical="center"/>
    </xf>
    <xf numFmtId="0" fontId="37" fillId="4" borderId="0" xfId="0" applyFont="1" applyFill="1" applyAlignment="1">
      <alignment horizontal="center"/>
    </xf>
    <xf numFmtId="0" fontId="37" fillId="4" borderId="22" xfId="0" applyFont="1" applyFill="1" applyBorder="1" applyAlignment="1">
      <alignment horizontal="center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164" fontId="36" fillId="0" borderId="25" xfId="0" applyNumberFormat="1" applyFont="1" applyBorder="1" applyAlignment="1">
      <alignment horizontal="center"/>
    </xf>
    <xf numFmtId="164" fontId="36" fillId="0" borderId="27" xfId="0" applyNumberFormat="1" applyFont="1" applyBorder="1" applyAlignment="1">
      <alignment horizontal="center"/>
    </xf>
    <xf numFmtId="164" fontId="36" fillId="0" borderId="26" xfId="0" applyNumberFormat="1" applyFont="1" applyBorder="1" applyAlignment="1">
      <alignment horizontal="center"/>
    </xf>
    <xf numFmtId="0" fontId="33" fillId="4" borderId="23" xfId="0" applyFont="1" applyFill="1" applyBorder="1" applyAlignment="1">
      <alignment horizontal="center"/>
    </xf>
    <xf numFmtId="0" fontId="33" fillId="4" borderId="0" xfId="0" applyFont="1" applyFill="1" applyAlignment="1">
      <alignment horizontal="center"/>
    </xf>
    <xf numFmtId="0" fontId="33" fillId="4" borderId="18" xfId="0" applyFont="1" applyFill="1" applyBorder="1" applyAlignment="1">
      <alignment horizontal="center"/>
    </xf>
    <xf numFmtId="0" fontId="33" fillId="4" borderId="22" xfId="0" applyFont="1" applyFill="1" applyBorder="1" applyAlignment="1">
      <alignment horizontal="center"/>
    </xf>
    <xf numFmtId="0" fontId="33" fillId="4" borderId="19" xfId="0" applyFont="1" applyFill="1" applyBorder="1" applyAlignment="1">
      <alignment horizontal="center"/>
    </xf>
    <xf numFmtId="2" fontId="35" fillId="0" borderId="25" xfId="0" applyNumberFormat="1" applyFont="1" applyBorder="1" applyAlignment="1">
      <alignment horizontal="center"/>
    </xf>
    <xf numFmtId="2" fontId="35" fillId="0" borderId="26" xfId="0" applyNumberFormat="1" applyFont="1" applyBorder="1" applyAlignment="1">
      <alignment horizontal="center"/>
    </xf>
    <xf numFmtId="2" fontId="36" fillId="0" borderId="25" xfId="0" applyNumberFormat="1" applyFont="1" applyBorder="1" applyAlignment="1">
      <alignment horizontal="center"/>
    </xf>
    <xf numFmtId="2" fontId="36" fillId="0" borderId="27" xfId="0" applyNumberFormat="1" applyFont="1" applyBorder="1" applyAlignment="1">
      <alignment horizontal="center"/>
    </xf>
    <xf numFmtId="2" fontId="36" fillId="0" borderId="26" xfId="0" applyNumberFormat="1" applyFont="1" applyBorder="1" applyAlignment="1">
      <alignment horizontal="center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7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horizontal="right"/>
    </xf>
    <xf numFmtId="49" fontId="0" fillId="0" borderId="0" xfId="0" applyNumberFormat="1" applyFont="1"/>
    <xf numFmtId="168" fontId="0" fillId="0" borderId="0" xfId="0" applyNumberFormat="1" applyFont="1"/>
    <xf numFmtId="1" fontId="0" fillId="0" borderId="0" xfId="0" applyNumberFormat="1" applyFont="1" applyAlignment="1">
      <alignment horizontal="left"/>
    </xf>
    <xf numFmtId="164" fontId="0" fillId="0" borderId="0" xfId="0" applyNumberFormat="1" applyFont="1" applyProtection="1">
      <protection locked="0"/>
    </xf>
  </cellXfs>
  <cellStyles count="3">
    <cellStyle name="Célula de Verificação" xfId="2" builtinId="23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 /><Relationship Id="rId2" Type="http://schemas.openxmlformats.org/officeDocument/2006/relationships/image" Target="../media/image2.jpeg" /><Relationship Id="rId1" Type="http://schemas.openxmlformats.org/officeDocument/2006/relationships/image" Target="../media/image1.jpe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4" Type="http://schemas.openxmlformats.org/officeDocument/2006/relationships/image" Target="../media/image4.jp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10307</xdr:rowOff>
    </xdr:from>
    <xdr:to>
      <xdr:col>2</xdr:col>
      <xdr:colOff>579108</xdr:colOff>
      <xdr:row>6</xdr:row>
      <xdr:rowOff>73845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0CEFE7-1BC9-2F07-20B4-7DDEA3A13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2245"/>
          <a:ext cx="1793546" cy="1027944"/>
        </a:xfrm>
        <a:prstGeom prst="rect">
          <a:avLst/>
        </a:prstGeom>
      </xdr:spPr>
    </xdr:pic>
    <xdr:clientData/>
  </xdr:twoCellAnchor>
  <xdr:twoCellAnchor editAs="oneCell">
    <xdr:from>
      <xdr:col>0</xdr:col>
      <xdr:colOff>78667</xdr:colOff>
      <xdr:row>16</xdr:row>
      <xdr:rowOff>100355</xdr:rowOff>
    </xdr:from>
    <xdr:to>
      <xdr:col>3</xdr:col>
      <xdr:colOff>215611</xdr:colOff>
      <xdr:row>26</xdr:row>
      <xdr:rowOff>115662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08C1E4-0AA8-C47F-903D-6636DAB5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67" y="3148838"/>
          <a:ext cx="2403393" cy="19197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12</xdr:col>
      <xdr:colOff>306845</xdr:colOff>
      <xdr:row>19</xdr:row>
      <xdr:rowOff>84473</xdr:rowOff>
    </xdr:from>
    <xdr:to>
      <xdr:col>13</xdr:col>
      <xdr:colOff>439504</xdr:colOff>
      <xdr:row>22</xdr:row>
      <xdr:rowOff>36635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CC2666B-D0AD-1F5E-DAAD-DFC264C51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8864" y="3772358"/>
          <a:ext cx="828718" cy="538315"/>
        </a:xfrm>
        <a:prstGeom prst="rect">
          <a:avLst/>
        </a:prstGeom>
      </xdr:spPr>
    </xdr:pic>
    <xdr:clientData/>
  </xdr:twoCellAnchor>
  <xdr:twoCellAnchor editAs="oneCell">
    <xdr:from>
      <xdr:col>11</xdr:col>
      <xdr:colOff>97812</xdr:colOff>
      <xdr:row>41</xdr:row>
      <xdr:rowOff>180974</xdr:rowOff>
    </xdr:from>
    <xdr:to>
      <xdr:col>19</xdr:col>
      <xdr:colOff>206069</xdr:colOff>
      <xdr:row>60</xdr:row>
      <xdr:rowOff>85725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1A1BFB4-0907-DD34-C116-EB8AD641BB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82" t="16094" r="5748" b="46734"/>
        <a:stretch>
          <a:fillRect/>
        </a:stretch>
      </xdr:blipFill>
      <xdr:spPr>
        <a:xfrm>
          <a:off x="7298712" y="8115299"/>
          <a:ext cx="5670857" cy="3552826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56</xdr:row>
      <xdr:rowOff>38100</xdr:rowOff>
    </xdr:from>
    <xdr:to>
      <xdr:col>5</xdr:col>
      <xdr:colOff>342899</xdr:colOff>
      <xdr:row>59</xdr:row>
      <xdr:rowOff>161924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AC8A90D-AA52-27A0-B113-1C8C4F18A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10848975"/>
          <a:ext cx="704849" cy="70484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70</xdr:row>
      <xdr:rowOff>85724</xdr:rowOff>
    </xdr:from>
    <xdr:to>
      <xdr:col>5</xdr:col>
      <xdr:colOff>304801</xdr:colOff>
      <xdr:row>74</xdr:row>
      <xdr:rowOff>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580CA61-64E8-D9F3-6B14-9EA63905D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3563599"/>
          <a:ext cx="685801" cy="685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.@leotechmotoreseletricos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1521-9608-CC45-B3B2-606246C43432}">
  <dimension ref="A1:BD96"/>
  <sheetViews>
    <sheetView tabSelected="1" zoomScale="60" zoomScaleNormal="60" zoomScaleSheetLayoutView="100" workbookViewId="0">
      <selection activeCell="AZ45" sqref="AZ45"/>
    </sheetView>
  </sheetViews>
  <sheetFormatPr defaultRowHeight="15" x14ac:dyDescent="0.2"/>
  <cols>
    <col min="3" max="3" width="14.796875" customWidth="1"/>
    <col min="6" max="6" width="10.625" customWidth="1"/>
    <col min="8" max="8" width="9.4140625" customWidth="1"/>
    <col min="11" max="11" width="9.55078125" customWidth="1"/>
    <col min="12" max="12" width="11.97265625" bestFit="1" customWidth="1"/>
    <col min="13" max="13" width="10.35546875" customWidth="1"/>
    <col min="14" max="14" width="10.89453125" customWidth="1"/>
    <col min="16" max="16" width="13.1796875" customWidth="1"/>
    <col min="18" max="18" width="10.0859375" customWidth="1"/>
    <col min="19" max="19" width="8.609375" customWidth="1"/>
    <col min="20" max="20" width="13.44921875" customWidth="1"/>
    <col min="26" max="26" width="18.29296875" customWidth="1"/>
    <col min="27" max="28" width="12.5078125" bestFit="1" customWidth="1"/>
    <col min="29" max="29" width="11.97265625" bestFit="1" customWidth="1"/>
    <col min="31" max="31" width="13.046875" bestFit="1" customWidth="1"/>
    <col min="32" max="32" width="12.5078125" bestFit="1" customWidth="1"/>
    <col min="33" max="33" width="13.046875" bestFit="1" customWidth="1"/>
    <col min="34" max="34" width="11.97265625" bestFit="1" customWidth="1"/>
    <col min="35" max="35" width="12.5078125" bestFit="1" customWidth="1"/>
    <col min="37" max="37" width="11.97265625" bestFit="1" customWidth="1"/>
    <col min="38" max="38" width="14.52734375" bestFit="1" customWidth="1"/>
    <col min="41" max="41" width="11.97265625" bestFit="1" customWidth="1"/>
    <col min="43" max="43" width="11.97265625" bestFit="1" customWidth="1"/>
  </cols>
  <sheetData>
    <row r="1" spans="1:56" ht="20.25" thickTop="1" thickBot="1" x14ac:dyDescent="0.3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2"/>
      <c r="K1" s="20"/>
      <c r="L1" s="20"/>
      <c r="M1" s="20"/>
      <c r="N1" s="251" t="s">
        <v>45</v>
      </c>
      <c r="O1" s="251"/>
      <c r="P1" s="251"/>
      <c r="Q1" s="251"/>
      <c r="R1" s="20"/>
      <c r="S1" s="20"/>
      <c r="T1" s="20"/>
    </row>
    <row r="2" spans="1:56" ht="15.75" thickTop="1" x14ac:dyDescent="0.2">
      <c r="C2" s="9"/>
      <c r="D2" s="9"/>
      <c r="E2" s="9"/>
      <c r="F2" s="9"/>
      <c r="G2" s="9"/>
      <c r="H2" s="9"/>
      <c r="I2" s="9"/>
      <c r="J2" s="22"/>
      <c r="K2" s="30" t="s">
        <v>46</v>
      </c>
      <c r="L2" s="30"/>
      <c r="M2" s="30"/>
      <c r="N2" s="30"/>
      <c r="O2" s="30"/>
      <c r="P2" s="30"/>
      <c r="Q2" s="30"/>
      <c r="R2" s="271" t="s">
        <v>105</v>
      </c>
      <c r="S2" s="271"/>
      <c r="T2" s="287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27"/>
      <c r="BA2" s="27"/>
      <c r="BB2" s="27"/>
      <c r="BC2" s="27"/>
      <c r="BD2" s="27"/>
    </row>
    <row r="3" spans="1:56" x14ac:dyDescent="0.2">
      <c r="C3" s="9"/>
      <c r="D3" s="23" t="s">
        <v>1</v>
      </c>
      <c r="E3" s="9"/>
      <c r="F3" s="24" t="s">
        <v>5</v>
      </c>
      <c r="G3" s="9"/>
      <c r="H3" s="9"/>
      <c r="I3" s="9"/>
      <c r="J3" s="22"/>
      <c r="K3" s="30" t="s">
        <v>50</v>
      </c>
      <c r="L3" s="30"/>
      <c r="M3" s="30"/>
      <c r="N3" s="30"/>
      <c r="O3" s="30"/>
      <c r="P3" s="30"/>
      <c r="Q3" s="30"/>
      <c r="R3" s="11"/>
      <c r="S3" s="288">
        <v>0.96299999999999997</v>
      </c>
      <c r="T3" s="29" t="s">
        <v>209</v>
      </c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  <c r="AN3" s="307"/>
      <c r="AO3" s="307"/>
      <c r="AP3" s="308"/>
      <c r="AQ3" s="308"/>
      <c r="AR3" s="308"/>
      <c r="AS3" s="308"/>
      <c r="AT3" s="27"/>
      <c r="AU3" s="27"/>
      <c r="AV3" s="27"/>
      <c r="AW3" s="80"/>
      <c r="AX3" s="80"/>
      <c r="AY3" s="80"/>
      <c r="AZ3" s="27"/>
      <c r="BA3" s="27"/>
      <c r="BB3" s="27"/>
      <c r="BC3" s="27"/>
      <c r="BD3" s="27"/>
    </row>
    <row r="4" spans="1:56" x14ac:dyDescent="0.2">
      <c r="C4" s="9"/>
      <c r="D4" s="9" t="s">
        <v>2</v>
      </c>
      <c r="E4" s="9"/>
      <c r="F4" s="9" t="s">
        <v>6</v>
      </c>
      <c r="G4" s="9"/>
      <c r="H4" s="9"/>
      <c r="I4" s="9"/>
      <c r="J4" s="22"/>
      <c r="K4" s="30" t="s">
        <v>53</v>
      </c>
      <c r="L4" s="30"/>
      <c r="M4" s="30"/>
      <c r="N4" s="30"/>
      <c r="O4" s="30"/>
      <c r="P4" s="30"/>
      <c r="Q4" s="30"/>
      <c r="R4" s="11"/>
      <c r="S4" s="289"/>
      <c r="T4" s="81">
        <f>L11</f>
        <v>0.96272932754053719</v>
      </c>
      <c r="AB4" s="307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  <c r="AN4" s="307"/>
      <c r="AO4" s="307"/>
      <c r="AP4" s="308"/>
      <c r="AQ4" s="308"/>
      <c r="AR4" s="308"/>
      <c r="AS4" s="308"/>
      <c r="AT4" s="27"/>
      <c r="AU4" s="27"/>
      <c r="AV4" s="27"/>
      <c r="AW4" s="80"/>
      <c r="AX4" s="80"/>
      <c r="AY4" s="80"/>
      <c r="AZ4" s="27"/>
      <c r="BA4" s="27"/>
      <c r="BB4" s="27"/>
      <c r="BC4" s="27"/>
      <c r="BD4" s="27"/>
    </row>
    <row r="5" spans="1:56" x14ac:dyDescent="0.2">
      <c r="C5" s="9"/>
      <c r="D5" s="9" t="s">
        <v>3</v>
      </c>
      <c r="E5" s="9"/>
      <c r="F5" s="9" t="s">
        <v>7</v>
      </c>
      <c r="G5" s="9"/>
      <c r="H5" s="9"/>
      <c r="I5" s="9"/>
      <c r="J5" s="22"/>
      <c r="K5" s="30" t="s">
        <v>51</v>
      </c>
      <c r="L5" s="30"/>
      <c r="M5" s="30"/>
      <c r="N5" s="30"/>
      <c r="O5" s="30"/>
      <c r="P5" s="30"/>
      <c r="Q5" s="30"/>
      <c r="R5" s="11"/>
      <c r="S5" s="9"/>
      <c r="T5" s="16"/>
      <c r="AB5" s="308"/>
      <c r="AC5" s="308"/>
      <c r="AD5" s="308"/>
      <c r="AE5" s="308"/>
      <c r="AF5" s="308"/>
      <c r="AG5" s="308"/>
      <c r="AH5" s="308"/>
      <c r="AI5" s="308"/>
      <c r="AJ5" s="308"/>
      <c r="AK5" s="308"/>
      <c r="AL5" s="308"/>
      <c r="AM5" s="308"/>
      <c r="AN5" s="308"/>
      <c r="AO5" s="308"/>
      <c r="AP5" s="308"/>
      <c r="AQ5" s="308"/>
      <c r="AR5" s="308"/>
      <c r="AS5" s="308"/>
      <c r="AT5" s="27"/>
      <c r="AU5" s="27"/>
      <c r="AV5" s="27"/>
      <c r="AW5" s="80"/>
      <c r="AX5" s="80"/>
      <c r="AY5" s="80"/>
      <c r="AZ5" s="27"/>
      <c r="BA5" s="27"/>
      <c r="BB5" s="27"/>
      <c r="BC5" s="27"/>
      <c r="BD5" s="27"/>
    </row>
    <row r="6" spans="1:56" x14ac:dyDescent="0.2">
      <c r="C6" s="9"/>
      <c r="D6" s="226" t="s">
        <v>4</v>
      </c>
      <c r="E6" s="226"/>
      <c r="F6" s="226"/>
      <c r="G6" s="226"/>
      <c r="H6" s="226"/>
      <c r="I6" s="9"/>
      <c r="J6" s="22"/>
      <c r="K6" s="63" t="s">
        <v>52</v>
      </c>
      <c r="L6" s="64"/>
      <c r="M6" s="64"/>
      <c r="N6" s="64"/>
      <c r="O6" s="64"/>
      <c r="P6" s="64"/>
      <c r="Q6" s="64"/>
      <c r="R6" s="62"/>
      <c r="S6" s="9"/>
      <c r="T6" s="16"/>
      <c r="AB6" s="308"/>
      <c r="AC6" s="308" t="s">
        <v>123</v>
      </c>
      <c r="AD6" s="309">
        <v>3</v>
      </c>
      <c r="AE6" s="308"/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27"/>
      <c r="AU6" s="27"/>
      <c r="AV6" s="27"/>
      <c r="AW6" s="80"/>
      <c r="AX6" s="80"/>
      <c r="AY6" s="80"/>
      <c r="AZ6" s="27"/>
      <c r="BA6" s="27"/>
      <c r="BB6" s="27"/>
      <c r="BC6" s="27"/>
      <c r="BD6" s="27"/>
    </row>
    <row r="7" spans="1:56" ht="7.5" customHeight="1" x14ac:dyDescent="0.2">
      <c r="D7" s="1"/>
      <c r="E7" s="1"/>
      <c r="F7" s="1"/>
      <c r="G7" s="1"/>
      <c r="H7" s="1"/>
      <c r="I7" s="1"/>
      <c r="J7" s="26"/>
      <c r="K7" s="18"/>
      <c r="L7" s="18"/>
      <c r="M7" s="18"/>
      <c r="N7" s="18"/>
      <c r="O7" s="18"/>
      <c r="P7" s="18"/>
      <c r="Q7" s="18"/>
      <c r="R7" s="9"/>
      <c r="S7" s="9"/>
      <c r="T7" s="16"/>
      <c r="U7" s="17"/>
      <c r="V7" s="17"/>
      <c r="W7" s="17"/>
      <c r="X7" s="17"/>
      <c r="Y7" s="17"/>
      <c r="Z7" s="17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27"/>
      <c r="AU7" s="27"/>
      <c r="AV7" s="27"/>
      <c r="AW7" s="80"/>
      <c r="AX7" s="80"/>
      <c r="AY7" s="80"/>
      <c r="AZ7" s="27"/>
      <c r="BA7" s="27"/>
      <c r="BB7" s="27"/>
      <c r="BC7" s="27"/>
      <c r="BD7" s="27"/>
    </row>
    <row r="8" spans="1:56" ht="15.75" thickBot="1" x14ac:dyDescent="0.25">
      <c r="A8" s="9" t="s">
        <v>8</v>
      </c>
      <c r="B8" s="9"/>
      <c r="C8" s="9"/>
      <c r="D8" s="9"/>
      <c r="E8" s="9"/>
      <c r="F8" s="9"/>
      <c r="G8" s="9"/>
      <c r="H8" s="9"/>
      <c r="I8" s="9"/>
      <c r="J8" s="22"/>
      <c r="K8" s="8" t="s">
        <v>69</v>
      </c>
      <c r="L8" s="8"/>
      <c r="M8" s="8"/>
      <c r="N8" s="8"/>
      <c r="O8" s="8"/>
      <c r="P8" s="8"/>
      <c r="Q8" s="9"/>
      <c r="R8" s="9"/>
      <c r="S8" s="9"/>
      <c r="T8" s="22"/>
      <c r="U8" s="17"/>
      <c r="V8" s="17"/>
      <c r="W8" s="17"/>
      <c r="X8" s="17"/>
      <c r="Y8" s="17"/>
      <c r="Z8" s="17"/>
      <c r="AB8" s="308"/>
      <c r="AC8" s="308" t="s">
        <v>111</v>
      </c>
      <c r="AD8" s="308"/>
      <c r="AE8" s="308" t="s">
        <v>112</v>
      </c>
      <c r="AF8" s="308"/>
      <c r="AG8" s="308" t="s">
        <v>113</v>
      </c>
      <c r="AH8" s="308"/>
      <c r="AI8" s="308"/>
      <c r="AJ8" s="308" t="s">
        <v>189</v>
      </c>
      <c r="AK8" s="308"/>
      <c r="AL8" s="308"/>
      <c r="AM8" s="308"/>
      <c r="AN8" s="308"/>
      <c r="AO8" s="308"/>
      <c r="AP8" s="308"/>
      <c r="AQ8" s="308" t="s">
        <v>230</v>
      </c>
      <c r="AR8" s="308"/>
      <c r="AS8" s="308"/>
      <c r="AT8" s="308"/>
      <c r="AU8" s="308"/>
      <c r="AV8" s="308"/>
      <c r="AW8" s="307"/>
      <c r="AX8" s="307"/>
      <c r="AY8" s="307"/>
      <c r="AZ8" s="27"/>
      <c r="BA8" s="27"/>
      <c r="BB8" s="27"/>
      <c r="BC8" s="27"/>
      <c r="BD8" s="27"/>
    </row>
    <row r="9" spans="1:56" ht="16.5" customHeight="1" thickTop="1" thickBot="1" x14ac:dyDescent="0.25">
      <c r="A9" s="1"/>
      <c r="B9" s="1"/>
      <c r="C9" s="1"/>
      <c r="D9" s="237" t="s">
        <v>9</v>
      </c>
      <c r="E9" s="237"/>
      <c r="F9" s="237"/>
      <c r="G9" s="1"/>
      <c r="H9" s="1"/>
      <c r="I9" s="1"/>
      <c r="J9" s="26"/>
      <c r="K9" s="8" t="s">
        <v>163</v>
      </c>
      <c r="L9" s="8"/>
      <c r="M9" s="8"/>
      <c r="N9" s="8"/>
      <c r="O9" s="8"/>
      <c r="P9" s="8"/>
      <c r="Q9" s="9"/>
      <c r="R9" s="9"/>
      <c r="S9" s="249" t="s">
        <v>57</v>
      </c>
      <c r="T9" s="248">
        <f>AG76</f>
        <v>1.3537142022751351E-2</v>
      </c>
      <c r="U9" s="214" t="s">
        <v>197</v>
      </c>
      <c r="V9" s="215"/>
      <c r="W9" s="215"/>
      <c r="X9" s="215"/>
      <c r="Y9" s="215"/>
      <c r="Z9" s="216"/>
      <c r="AB9" s="308"/>
      <c r="AC9" s="308" t="s">
        <v>106</v>
      </c>
      <c r="AD9" s="308"/>
      <c r="AE9" s="308" t="s">
        <v>106</v>
      </c>
      <c r="AF9" s="308"/>
      <c r="AG9" s="308">
        <f>3.14*AE10*AE12</f>
        <v>4.0820000000000009E-2</v>
      </c>
      <c r="AH9" s="308"/>
      <c r="AI9" s="308"/>
      <c r="AJ9" s="308" t="s">
        <v>172</v>
      </c>
      <c r="AK9" s="310">
        <f>0.736*C11</f>
        <v>3.6799999999999997</v>
      </c>
      <c r="AL9" s="308" t="s">
        <v>180</v>
      </c>
      <c r="AM9" s="308" t="s">
        <v>181</v>
      </c>
      <c r="AN9" s="308"/>
      <c r="AO9" s="308">
        <f>2.22*I11</f>
        <v>133.20000000000002</v>
      </c>
      <c r="AP9" s="308"/>
      <c r="AQ9" s="308">
        <f>(H13)^2*B44</f>
        <v>58.473677261967453</v>
      </c>
      <c r="AR9" s="308"/>
      <c r="AS9" s="308"/>
      <c r="AT9" s="308"/>
      <c r="AU9" s="308"/>
      <c r="AV9" s="308"/>
      <c r="AW9" s="307"/>
      <c r="AX9" s="307"/>
      <c r="AY9" s="307"/>
      <c r="AZ9" s="27"/>
      <c r="BA9" s="27"/>
      <c r="BB9" s="27"/>
      <c r="BC9" s="27"/>
      <c r="BD9" s="27"/>
    </row>
    <row r="10" spans="1:56" ht="15.75" customHeight="1" thickTop="1" x14ac:dyDescent="0.2">
      <c r="A10" s="229" t="s">
        <v>10</v>
      </c>
      <c r="B10" s="229"/>
      <c r="C10" s="167" t="s">
        <v>282</v>
      </c>
      <c r="D10" s="239" t="s">
        <v>16</v>
      </c>
      <c r="E10" s="240"/>
      <c r="F10" s="168">
        <v>0.8</v>
      </c>
      <c r="G10" s="241" t="s">
        <v>15</v>
      </c>
      <c r="H10" s="229"/>
      <c r="I10" s="167">
        <v>3500</v>
      </c>
      <c r="J10" s="29" t="s">
        <v>31</v>
      </c>
      <c r="K10" s="8" t="s">
        <v>54</v>
      </c>
      <c r="L10" s="8"/>
      <c r="M10" s="8"/>
      <c r="N10" s="8"/>
      <c r="O10" s="8"/>
      <c r="P10" s="8"/>
      <c r="Q10" s="9"/>
      <c r="R10" s="9"/>
      <c r="S10" s="249"/>
      <c r="T10" s="228"/>
      <c r="U10" s="18"/>
      <c r="V10" s="18"/>
      <c r="W10" s="217">
        <f>AD26</f>
        <v>2.8307692307692296</v>
      </c>
      <c r="X10" s="218"/>
      <c r="Y10" s="219"/>
      <c r="Z10" s="33"/>
      <c r="AB10" s="308"/>
      <c r="AC10" s="308">
        <f>I18/10</f>
        <v>10</v>
      </c>
      <c r="AD10" s="308"/>
      <c r="AE10" s="308">
        <f>I18/1000</f>
        <v>0.1</v>
      </c>
      <c r="AF10" s="308"/>
      <c r="AG10" s="311">
        <f>AG9/J11</f>
        <v>2.0410000000000005E-2</v>
      </c>
      <c r="AH10" s="308"/>
      <c r="AI10" s="308"/>
      <c r="AJ10" s="308" t="s">
        <v>182</v>
      </c>
      <c r="AK10" s="308"/>
      <c r="AL10" s="308"/>
      <c r="AM10" s="310">
        <f>AE10+AD20</f>
        <v>0.28100000000000003</v>
      </c>
      <c r="AN10" s="308"/>
      <c r="AO10" s="308">
        <f>AO9*K16</f>
        <v>2.3380063200000007</v>
      </c>
      <c r="AP10" s="308"/>
      <c r="AQ10" s="312">
        <f>3*AQ9</f>
        <v>175.42103178590236</v>
      </c>
      <c r="AR10" s="308"/>
      <c r="AS10" s="308"/>
      <c r="AT10" s="312"/>
      <c r="AU10" s="308"/>
      <c r="AV10" s="308"/>
      <c r="AW10" s="320"/>
      <c r="AX10" s="307"/>
      <c r="AY10" s="307"/>
      <c r="AZ10" s="27"/>
      <c r="BA10" s="27"/>
      <c r="BB10" s="27"/>
      <c r="BC10" s="27"/>
      <c r="BD10" s="27"/>
    </row>
    <row r="11" spans="1:56" ht="15" customHeight="1" x14ac:dyDescent="0.2">
      <c r="A11" s="229" t="s">
        <v>11</v>
      </c>
      <c r="B11" s="229"/>
      <c r="C11" s="12">
        <v>5</v>
      </c>
      <c r="D11" s="229" t="s">
        <v>14</v>
      </c>
      <c r="E11" s="229"/>
      <c r="F11" s="12">
        <v>70</v>
      </c>
      <c r="G11" s="241" t="s">
        <v>17</v>
      </c>
      <c r="H11" s="242"/>
      <c r="I11" s="169">
        <v>60</v>
      </c>
      <c r="J11" s="12">
        <v>2</v>
      </c>
      <c r="K11" s="252" t="s">
        <v>47</v>
      </c>
      <c r="L11" s="253">
        <f>AG81</f>
        <v>0.96272932754053719</v>
      </c>
      <c r="M11" s="255" t="s">
        <v>48</v>
      </c>
      <c r="N11" s="227">
        <f>AE59</f>
        <v>3.981623454078851E-3</v>
      </c>
      <c r="O11" s="252" t="s">
        <v>49</v>
      </c>
      <c r="P11" s="227">
        <f>ABS(AG65)</f>
        <v>5.5742586963085251E-3</v>
      </c>
      <c r="Q11" s="252" t="s">
        <v>55</v>
      </c>
      <c r="R11" s="227">
        <f>ABS(AL64)</f>
        <v>8.7594827229419293E-3</v>
      </c>
      <c r="S11" s="250" t="s">
        <v>56</v>
      </c>
      <c r="T11" s="227">
        <f>AG71</f>
        <v>1.8067759119181302E-4</v>
      </c>
      <c r="U11" s="31" t="s">
        <v>198</v>
      </c>
      <c r="V11" s="31"/>
      <c r="W11" s="31"/>
      <c r="X11" s="31"/>
      <c r="Y11" s="31"/>
      <c r="Z11" s="159"/>
      <c r="AB11" s="308"/>
      <c r="AC11" s="308" t="s">
        <v>107</v>
      </c>
      <c r="AD11" s="308"/>
      <c r="AE11" s="308" t="s">
        <v>107</v>
      </c>
      <c r="AF11" s="308"/>
      <c r="AG11" s="308" t="s">
        <v>115</v>
      </c>
      <c r="AH11" s="308"/>
      <c r="AI11" s="308"/>
      <c r="AJ11" s="308">
        <f>3.14*AM11</f>
        <v>0.44117000000000006</v>
      </c>
      <c r="AK11" s="308"/>
      <c r="AL11" s="308"/>
      <c r="AM11" s="313">
        <f>AM10/2</f>
        <v>0.14050000000000001</v>
      </c>
      <c r="AN11" s="308" t="s">
        <v>173</v>
      </c>
      <c r="AO11" s="314">
        <f>AO10/AJ12</f>
        <v>10.599117437722422</v>
      </c>
      <c r="AP11" s="308" t="s">
        <v>184</v>
      </c>
      <c r="AQ11" s="308"/>
      <c r="AR11" s="308"/>
      <c r="AS11" s="308"/>
      <c r="AT11" s="308"/>
      <c r="AU11" s="308"/>
      <c r="AV11" s="308"/>
      <c r="AW11" s="307"/>
      <c r="AX11" s="307"/>
      <c r="AY11" s="307"/>
      <c r="AZ11" s="27"/>
      <c r="BA11" s="27"/>
      <c r="BB11" s="27"/>
      <c r="BC11" s="27"/>
      <c r="BD11" s="27"/>
    </row>
    <row r="12" spans="1:56" ht="15" customHeight="1" x14ac:dyDescent="0.2">
      <c r="A12" s="230" t="s">
        <v>12</v>
      </c>
      <c r="B12" s="230"/>
      <c r="C12" s="28" t="s">
        <v>19</v>
      </c>
      <c r="D12" s="28" t="s">
        <v>18</v>
      </c>
      <c r="E12" s="230" t="s">
        <v>13</v>
      </c>
      <c r="F12" s="230"/>
      <c r="G12" s="28" t="s">
        <v>19</v>
      </c>
      <c r="H12" s="28" t="s">
        <v>18</v>
      </c>
      <c r="I12" s="231" t="s">
        <v>32</v>
      </c>
      <c r="J12" s="232"/>
      <c r="K12" s="252"/>
      <c r="L12" s="254"/>
      <c r="M12" s="255"/>
      <c r="N12" s="228"/>
      <c r="O12" s="252"/>
      <c r="P12" s="228"/>
      <c r="Q12" s="252"/>
      <c r="R12" s="228"/>
      <c r="S12" s="250"/>
      <c r="T12" s="228"/>
      <c r="U12" s="31" t="s">
        <v>195</v>
      </c>
      <c r="V12" s="31"/>
      <c r="W12" s="31"/>
      <c r="X12" s="31"/>
      <c r="Y12" s="31"/>
      <c r="Z12" s="159"/>
      <c r="AB12" s="308"/>
      <c r="AC12" s="308">
        <f>I17/10</f>
        <v>13</v>
      </c>
      <c r="AD12" s="308"/>
      <c r="AE12" s="308">
        <f>I17/1000</f>
        <v>0.13</v>
      </c>
      <c r="AF12" s="308"/>
      <c r="AG12" s="308" t="s">
        <v>116</v>
      </c>
      <c r="AH12" s="308">
        <f>3.14*AC10</f>
        <v>31.400000000000002</v>
      </c>
      <c r="AI12" s="308"/>
      <c r="AJ12" s="308">
        <f>AJ11/J11</f>
        <v>0.22058500000000003</v>
      </c>
      <c r="AK12" s="308" t="s">
        <v>183</v>
      </c>
      <c r="AL12" s="308"/>
      <c r="AM12" s="308"/>
      <c r="AN12" s="308"/>
      <c r="AO12" s="308"/>
      <c r="AP12" s="308"/>
      <c r="AQ12" s="308"/>
      <c r="AR12" s="308"/>
      <c r="AS12" s="315"/>
      <c r="AT12" s="308"/>
      <c r="AU12" s="308"/>
      <c r="AV12" s="308"/>
      <c r="AW12" s="307"/>
      <c r="AX12" s="307"/>
      <c r="AY12" s="307"/>
      <c r="AZ12" s="27"/>
      <c r="BA12" s="27"/>
      <c r="BB12" s="27"/>
      <c r="BC12" s="27"/>
      <c r="BD12" s="27"/>
    </row>
    <row r="13" spans="1:56" x14ac:dyDescent="0.2">
      <c r="A13" s="230"/>
      <c r="B13" s="230"/>
      <c r="C13" s="12">
        <v>380</v>
      </c>
      <c r="D13" s="167">
        <v>660</v>
      </c>
      <c r="E13" s="230"/>
      <c r="F13" s="230"/>
      <c r="G13" s="12">
        <v>12</v>
      </c>
      <c r="H13" s="169">
        <v>6.9</v>
      </c>
      <c r="I13" s="186">
        <f>AQ31</f>
        <v>9.9960884871137363</v>
      </c>
      <c r="J13" s="153">
        <f>AT30</f>
        <v>5.7553236743988192</v>
      </c>
      <c r="K13" s="9"/>
      <c r="L13" s="9"/>
      <c r="M13" s="9"/>
      <c r="N13" s="9"/>
      <c r="O13" s="9"/>
      <c r="P13" s="9"/>
      <c r="Q13" s="9"/>
      <c r="R13" s="9"/>
      <c r="S13" s="9"/>
      <c r="T13" s="22"/>
      <c r="U13" s="31" t="s">
        <v>196</v>
      </c>
      <c r="V13" s="31"/>
      <c r="W13" s="31"/>
      <c r="X13" s="31"/>
      <c r="Y13" s="31"/>
      <c r="Z13" s="159"/>
      <c r="AB13" s="308"/>
      <c r="AC13" s="308" t="s">
        <v>108</v>
      </c>
      <c r="AD13" s="308"/>
      <c r="AE13" s="308" t="s">
        <v>108</v>
      </c>
      <c r="AF13" s="308"/>
      <c r="AG13" s="308">
        <f>AH12/J11</f>
        <v>15.700000000000001</v>
      </c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7"/>
      <c r="AX13" s="307"/>
      <c r="AY13" s="307"/>
      <c r="AZ13" s="27"/>
      <c r="BA13" s="27"/>
      <c r="BB13" s="27"/>
      <c r="BC13" s="27"/>
      <c r="BD13" s="27"/>
    </row>
    <row r="14" spans="1:56" ht="15.75" thickBot="1" x14ac:dyDescent="0.25">
      <c r="A14" s="20"/>
      <c r="B14" s="20"/>
      <c r="C14" s="20"/>
      <c r="D14" s="238" t="s">
        <v>20</v>
      </c>
      <c r="E14" s="238"/>
      <c r="F14" s="238"/>
      <c r="G14" s="20"/>
      <c r="H14" s="20"/>
      <c r="I14" s="20"/>
      <c r="J14" s="21"/>
      <c r="K14" s="20"/>
      <c r="L14" s="20"/>
      <c r="M14" s="20"/>
      <c r="N14" s="259" t="s">
        <v>68</v>
      </c>
      <c r="O14" s="260"/>
      <c r="P14" s="260"/>
      <c r="Q14" s="261"/>
      <c r="R14" s="20"/>
      <c r="S14" s="20"/>
      <c r="T14" s="20"/>
      <c r="U14" s="31" t="s">
        <v>204</v>
      </c>
      <c r="V14" s="31"/>
      <c r="W14" s="31"/>
      <c r="X14" s="31"/>
      <c r="Y14" s="31"/>
      <c r="Z14" s="159"/>
      <c r="AB14" s="308"/>
      <c r="AC14" s="308">
        <f>E16/10</f>
        <v>0.38</v>
      </c>
      <c r="AD14" s="308"/>
      <c r="AE14" s="308">
        <f>E16/1000</f>
        <v>3.8E-3</v>
      </c>
      <c r="AF14" s="308"/>
      <c r="AG14" s="308" t="s">
        <v>117</v>
      </c>
      <c r="AH14" s="308"/>
      <c r="AI14" s="308" t="s">
        <v>120</v>
      </c>
      <c r="AJ14" s="308"/>
      <c r="AK14" s="308" t="s">
        <v>122</v>
      </c>
      <c r="AL14" s="316"/>
      <c r="AM14" s="308" t="s">
        <v>121</v>
      </c>
      <c r="AN14" s="308"/>
      <c r="AO14" s="308"/>
      <c r="AP14" s="308"/>
      <c r="AQ14" s="308"/>
      <c r="AR14" s="308"/>
      <c r="AS14" s="308"/>
      <c r="AT14" s="308"/>
      <c r="AU14" s="308"/>
      <c r="AV14" s="308"/>
      <c r="AW14" s="307"/>
      <c r="AX14" s="307"/>
      <c r="AY14" s="307"/>
      <c r="AZ14" s="27"/>
      <c r="BA14" s="27"/>
      <c r="BB14" s="27"/>
      <c r="BC14" s="27"/>
      <c r="BD14" s="27"/>
    </row>
    <row r="15" spans="1:56" ht="15.75" thickTop="1" x14ac:dyDescent="0.2">
      <c r="A15" s="229" t="s">
        <v>21</v>
      </c>
      <c r="B15" s="229"/>
      <c r="C15" s="229"/>
      <c r="D15" s="243"/>
      <c r="E15" s="170">
        <v>16.5</v>
      </c>
      <c r="F15" s="229" t="s">
        <v>23</v>
      </c>
      <c r="G15" s="229"/>
      <c r="H15" s="229"/>
      <c r="I15" s="12">
        <v>24</v>
      </c>
      <c r="J15" s="33"/>
      <c r="K15" s="265" t="s">
        <v>93</v>
      </c>
      <c r="L15" s="226"/>
      <c r="M15" s="226"/>
      <c r="N15" s="9"/>
      <c r="O15" s="283" t="s">
        <v>94</v>
      </c>
      <c r="P15" s="283"/>
      <c r="Q15" s="9"/>
      <c r="R15" s="226" t="s">
        <v>114</v>
      </c>
      <c r="S15" s="226"/>
      <c r="T15" s="233"/>
      <c r="U15" s="31" t="s">
        <v>199</v>
      </c>
      <c r="V15" s="31"/>
      <c r="W15" s="31"/>
      <c r="X15" s="31"/>
      <c r="Y15" s="31"/>
      <c r="Z15" s="159"/>
      <c r="AB15" s="308"/>
      <c r="AC15" s="308" t="s">
        <v>109</v>
      </c>
      <c r="AD15" s="308"/>
      <c r="AE15" s="308" t="s">
        <v>109</v>
      </c>
      <c r="AF15" s="308"/>
      <c r="AG15" s="308">
        <f>I37*AG13*AC12</f>
        <v>877.63000000000011</v>
      </c>
      <c r="AH15" s="308"/>
      <c r="AI15" s="308">
        <f>B38*B40</f>
        <v>6</v>
      </c>
      <c r="AJ15" s="308"/>
      <c r="AK15" s="308">
        <f>B38</f>
        <v>3</v>
      </c>
      <c r="AL15" s="308"/>
      <c r="AM15" s="308">
        <f>B40</f>
        <v>2</v>
      </c>
      <c r="AN15" s="308"/>
      <c r="AO15" s="308"/>
      <c r="AP15" s="308"/>
      <c r="AQ15" s="308" t="s">
        <v>218</v>
      </c>
      <c r="AR15" s="308"/>
      <c r="AS15" s="308" t="s">
        <v>219</v>
      </c>
      <c r="AT15" s="308"/>
      <c r="AU15" s="308"/>
      <c r="AV15" s="308" t="s">
        <v>221</v>
      </c>
      <c r="AW15" s="307"/>
      <c r="AX15" s="307"/>
      <c r="AY15" s="307"/>
      <c r="AZ15" s="27"/>
      <c r="BA15" s="27"/>
      <c r="BB15" s="27"/>
      <c r="BC15" s="27"/>
      <c r="BD15" s="27"/>
    </row>
    <row r="16" spans="1:56" ht="15" customHeight="1" x14ac:dyDescent="0.25">
      <c r="A16" s="229" t="s">
        <v>22</v>
      </c>
      <c r="B16" s="229"/>
      <c r="C16" s="229"/>
      <c r="D16" s="243"/>
      <c r="E16" s="161">
        <v>3.8</v>
      </c>
      <c r="F16" s="229" t="s">
        <v>24</v>
      </c>
      <c r="G16" s="229"/>
      <c r="H16" s="229"/>
      <c r="I16" s="167">
        <v>36</v>
      </c>
      <c r="J16" s="33"/>
      <c r="K16" s="280">
        <f>O16*J11</f>
        <v>1.7552600000000005E-2</v>
      </c>
      <c r="L16" s="281"/>
      <c r="M16" s="282"/>
      <c r="N16" s="82"/>
      <c r="O16" s="234">
        <f>AG24</f>
        <v>8.7763000000000025E-3</v>
      </c>
      <c r="P16" s="235"/>
      <c r="Q16" s="9"/>
      <c r="R16" s="234">
        <f>AG10</f>
        <v>2.0410000000000005E-2</v>
      </c>
      <c r="S16" s="236"/>
      <c r="T16" s="235"/>
      <c r="U16" s="31" t="s">
        <v>193</v>
      </c>
      <c r="V16" s="31"/>
      <c r="W16" s="31"/>
      <c r="X16" s="31"/>
      <c r="Y16" s="31"/>
      <c r="Z16" s="159"/>
      <c r="AA16" s="2"/>
      <c r="AB16" s="308"/>
      <c r="AC16" s="308">
        <f>I15/10</f>
        <v>2.4</v>
      </c>
      <c r="AD16" s="308"/>
      <c r="AE16" s="308">
        <f>I15/1000</f>
        <v>2.4E-2</v>
      </c>
      <c r="AF16" s="308"/>
      <c r="AG16" s="308">
        <f>AG15/1000</f>
        <v>0.87763000000000013</v>
      </c>
      <c r="AH16" s="308"/>
      <c r="AI16" s="308" t="s">
        <v>205</v>
      </c>
      <c r="AJ16" s="308"/>
      <c r="AK16" s="308"/>
      <c r="AL16" s="308"/>
      <c r="AM16" s="308"/>
      <c r="AN16" s="308"/>
      <c r="AO16" s="308"/>
      <c r="AP16" s="308"/>
      <c r="AQ16" s="308">
        <f>AE10+AE18</f>
        <v>0.11650000000000001</v>
      </c>
      <c r="AR16" s="308"/>
      <c r="AS16" s="308">
        <f>AE12+0.01</f>
        <v>0.14000000000000001</v>
      </c>
      <c r="AT16" s="308"/>
      <c r="AU16" s="308"/>
      <c r="AV16" s="308">
        <f>3.14*AQ16*(H52/I16)*2</f>
        <v>0.36581000000000002</v>
      </c>
      <c r="AW16" s="307"/>
      <c r="AX16" s="307"/>
      <c r="AY16" s="307"/>
      <c r="AZ16" s="27"/>
      <c r="BA16" s="27"/>
      <c r="BB16" s="27"/>
      <c r="BC16" s="27"/>
      <c r="BD16" s="27"/>
    </row>
    <row r="17" spans="1:56" ht="15" customHeight="1" x14ac:dyDescent="0.2">
      <c r="A17" s="30"/>
      <c r="B17" s="30"/>
      <c r="C17" s="30"/>
      <c r="D17" s="18"/>
      <c r="E17" s="28"/>
      <c r="F17" s="229" t="s">
        <v>25</v>
      </c>
      <c r="G17" s="229"/>
      <c r="H17" s="242"/>
      <c r="I17" s="167">
        <v>130</v>
      </c>
      <c r="J17" s="33"/>
      <c r="K17" s="83" t="s">
        <v>231</v>
      </c>
      <c r="L17" s="83"/>
      <c r="M17" s="83"/>
      <c r="N17" s="84"/>
      <c r="O17" s="85" t="s">
        <v>95</v>
      </c>
      <c r="P17" s="86"/>
      <c r="Q17" s="87"/>
      <c r="R17" s="86"/>
      <c r="S17" s="86"/>
      <c r="T17" s="88"/>
      <c r="U17" s="31" t="s">
        <v>201</v>
      </c>
      <c r="V17" s="187"/>
      <c r="W17" s="187"/>
      <c r="X17" s="187"/>
      <c r="Y17" s="187"/>
      <c r="Z17" s="188"/>
      <c r="AA17" s="2"/>
      <c r="AB17" s="308"/>
      <c r="AC17" s="308" t="s">
        <v>110</v>
      </c>
      <c r="AD17" s="308"/>
      <c r="AE17" s="308" t="s">
        <v>110</v>
      </c>
      <c r="AF17" s="308"/>
      <c r="AG17" s="308" t="s">
        <v>118</v>
      </c>
      <c r="AH17" s="308"/>
      <c r="AI17" s="317"/>
      <c r="AJ17" s="308"/>
      <c r="AK17" s="308"/>
      <c r="AL17" s="308">
        <f>F11/100</f>
        <v>0.7</v>
      </c>
      <c r="AM17" s="308"/>
      <c r="AN17" s="308"/>
      <c r="AO17" s="308"/>
      <c r="AP17" s="308"/>
      <c r="AQ17" s="308"/>
      <c r="AR17" s="308"/>
      <c r="AS17" s="308" t="s">
        <v>220</v>
      </c>
      <c r="AT17" s="308">
        <f>2*AS16</f>
        <v>0.28000000000000003</v>
      </c>
      <c r="AU17" s="308" t="s">
        <v>160</v>
      </c>
      <c r="AV17" s="308"/>
      <c r="AW17" s="307"/>
      <c r="AX17" s="307"/>
      <c r="AY17" s="307"/>
      <c r="AZ17" s="27"/>
      <c r="BA17" s="27"/>
      <c r="BB17" s="27"/>
      <c r="BC17" s="27"/>
      <c r="BD17" s="27"/>
    </row>
    <row r="18" spans="1:56" x14ac:dyDescent="0.2">
      <c r="A18" s="18"/>
      <c r="B18" s="18"/>
      <c r="C18" s="18"/>
      <c r="D18" s="18"/>
      <c r="E18" s="18"/>
      <c r="F18" s="229" t="s">
        <v>26</v>
      </c>
      <c r="G18" s="229"/>
      <c r="H18" s="229"/>
      <c r="I18" s="12">
        <v>100</v>
      </c>
      <c r="J18" s="33"/>
      <c r="K18" s="83" t="s">
        <v>232</v>
      </c>
      <c r="L18" s="83"/>
      <c r="M18" s="83"/>
      <c r="N18" s="83"/>
      <c r="O18" s="87" t="s">
        <v>96</v>
      </c>
      <c r="P18" s="87"/>
      <c r="Q18" s="87"/>
      <c r="R18" s="87"/>
      <c r="S18" s="87"/>
      <c r="T18" s="89"/>
      <c r="U18" s="31" t="s">
        <v>194</v>
      </c>
      <c r="V18" s="31"/>
      <c r="W18" s="189"/>
      <c r="X18" s="189"/>
      <c r="Y18" s="189"/>
      <c r="Z18" s="159"/>
      <c r="AB18" s="308"/>
      <c r="AC18" s="308">
        <f>E15/10</f>
        <v>1.65</v>
      </c>
      <c r="AD18" s="308"/>
      <c r="AE18" s="308">
        <f>E15/1000</f>
        <v>1.6500000000000001E-2</v>
      </c>
      <c r="AF18" s="308"/>
      <c r="AG18" s="308">
        <f>(50*C13)*F37</f>
        <v>19000</v>
      </c>
      <c r="AH18" s="308"/>
      <c r="AI18" s="308"/>
      <c r="AJ18" s="308"/>
      <c r="AK18" s="308"/>
      <c r="AL18" s="308"/>
      <c r="AM18" s="308"/>
      <c r="AN18" s="308"/>
      <c r="AO18" s="308"/>
      <c r="AP18" s="308"/>
      <c r="AQ18" s="308" t="s">
        <v>222</v>
      </c>
      <c r="AR18" s="308"/>
      <c r="AS18" s="308"/>
      <c r="AT18" s="308"/>
      <c r="AU18" s="308"/>
      <c r="AV18" s="308"/>
      <c r="AW18" s="307"/>
      <c r="AX18" s="307"/>
      <c r="AY18" s="307"/>
      <c r="AZ18" s="27"/>
      <c r="BA18" s="27"/>
      <c r="BB18" s="27"/>
      <c r="BC18" s="27"/>
      <c r="BD18" s="27"/>
    </row>
    <row r="19" spans="1:56" ht="15" customHeight="1" x14ac:dyDescent="0.2">
      <c r="A19" s="18"/>
      <c r="B19" s="18"/>
      <c r="C19" s="18"/>
      <c r="D19" s="18"/>
      <c r="E19" s="18"/>
      <c r="F19" s="18"/>
      <c r="G19" s="18"/>
      <c r="H19" s="18"/>
      <c r="I19" s="9"/>
      <c r="J19" s="33"/>
      <c r="K19" s="83" t="s">
        <v>92</v>
      </c>
      <c r="L19" s="83"/>
      <c r="M19" s="83"/>
      <c r="N19" s="90"/>
      <c r="O19" s="91" t="s">
        <v>97</v>
      </c>
      <c r="P19" s="92"/>
      <c r="Q19" s="87"/>
      <c r="R19" s="87"/>
      <c r="S19" s="87"/>
      <c r="T19" s="89"/>
      <c r="U19" s="190" t="s">
        <v>190</v>
      </c>
      <c r="V19" s="190"/>
      <c r="W19" s="191"/>
      <c r="X19" s="191"/>
      <c r="Y19" s="191"/>
      <c r="Z19" s="192"/>
      <c r="AB19" s="308"/>
      <c r="AC19" s="308"/>
      <c r="AD19" s="308" t="s">
        <v>130</v>
      </c>
      <c r="AE19" s="308"/>
      <c r="AF19" s="308"/>
      <c r="AG19" s="308">
        <f>(2.22*AG16*I11*S3)*I34</f>
        <v>112.57500430800003</v>
      </c>
      <c r="AH19" s="308"/>
      <c r="AI19" s="308"/>
      <c r="AJ19" s="308"/>
      <c r="AK19" s="308"/>
      <c r="AL19" s="308"/>
      <c r="AM19" s="308"/>
      <c r="AN19" s="308"/>
      <c r="AO19" s="308"/>
      <c r="AP19" s="308"/>
      <c r="AQ19" s="308">
        <f>AT17+AV16</f>
        <v>0.64581</v>
      </c>
      <c r="AR19" s="308"/>
      <c r="AS19" s="308"/>
      <c r="AT19" s="308"/>
      <c r="AU19" s="308"/>
      <c r="AV19" s="308"/>
      <c r="AW19" s="307"/>
      <c r="AX19" s="307"/>
      <c r="AY19" s="307"/>
      <c r="AZ19" s="27"/>
      <c r="BA19" s="27"/>
      <c r="BB19" s="27"/>
      <c r="BC19" s="27"/>
      <c r="BD19" s="27"/>
    </row>
    <row r="20" spans="1:56" ht="15" customHeight="1" x14ac:dyDescent="0.2">
      <c r="A20" s="18"/>
      <c r="B20" s="18"/>
      <c r="C20" s="18"/>
      <c r="D20" s="9"/>
      <c r="E20" s="31" t="s">
        <v>33</v>
      </c>
      <c r="F20" s="31"/>
      <c r="G20" s="8"/>
      <c r="H20" s="9"/>
      <c r="I20" s="9"/>
      <c r="J20" s="33"/>
      <c r="K20" s="83" t="s">
        <v>102</v>
      </c>
      <c r="L20" s="83"/>
      <c r="M20" s="83"/>
      <c r="N20" s="90"/>
      <c r="O20" s="91" t="s">
        <v>98</v>
      </c>
      <c r="P20" s="92"/>
      <c r="Q20" s="87"/>
      <c r="R20" s="87"/>
      <c r="S20" s="87"/>
      <c r="T20" s="89"/>
      <c r="U20" s="190" t="s">
        <v>202</v>
      </c>
      <c r="V20" s="190"/>
      <c r="W20" s="191"/>
      <c r="X20" s="191"/>
      <c r="Y20" s="191"/>
      <c r="Z20" s="192"/>
      <c r="AB20" s="308"/>
      <c r="AC20" s="308"/>
      <c r="AD20" s="310">
        <f>D30/1000</f>
        <v>0.18099999999999999</v>
      </c>
      <c r="AE20" s="308"/>
      <c r="AF20" s="308"/>
      <c r="AG20" s="316" t="s">
        <v>118</v>
      </c>
      <c r="AH20" s="308">
        <f>AG18/AG19</f>
        <v>168.77636484931304</v>
      </c>
      <c r="AI20" s="308"/>
      <c r="AJ20" s="308"/>
      <c r="AK20" s="308"/>
      <c r="AL20" s="308"/>
      <c r="AM20" s="308"/>
      <c r="AN20" s="308"/>
      <c r="AO20" s="308"/>
      <c r="AP20" s="308"/>
      <c r="AQ20" s="308" t="s">
        <v>223</v>
      </c>
      <c r="AR20" s="312"/>
      <c r="AS20" s="308"/>
      <c r="AT20" s="308"/>
      <c r="AU20" s="308"/>
      <c r="AV20" s="308"/>
      <c r="AW20" s="307"/>
      <c r="AX20" s="307"/>
      <c r="AY20" s="307"/>
      <c r="AZ20" s="27"/>
      <c r="BA20" s="27"/>
      <c r="BB20" s="27"/>
      <c r="BC20" s="27"/>
      <c r="BD20" s="27"/>
    </row>
    <row r="21" spans="1:56" x14ac:dyDescent="0.2">
      <c r="A21" s="18"/>
      <c r="B21" s="18"/>
      <c r="C21" s="18"/>
      <c r="D21" s="9"/>
      <c r="E21" s="31" t="s">
        <v>27</v>
      </c>
      <c r="F21" s="31"/>
      <c r="G21" s="8"/>
      <c r="H21" s="9"/>
      <c r="I21" s="9"/>
      <c r="J21" s="33"/>
      <c r="K21" s="8" t="s">
        <v>104</v>
      </c>
      <c r="L21" s="7"/>
      <c r="M21" s="9"/>
      <c r="N21" s="9"/>
      <c r="O21" s="87" t="s">
        <v>99</v>
      </c>
      <c r="P21" s="87"/>
      <c r="Q21" s="87"/>
      <c r="R21" s="93"/>
      <c r="S21" s="93"/>
      <c r="T21" s="94"/>
      <c r="U21" s="190" t="s">
        <v>191</v>
      </c>
      <c r="V21" s="190"/>
      <c r="W21" s="190"/>
      <c r="X21" s="190"/>
      <c r="Y21" s="190"/>
      <c r="Z21" s="193"/>
      <c r="AB21" s="308"/>
      <c r="AC21" s="308"/>
      <c r="AD21" s="308"/>
      <c r="AE21" s="308"/>
      <c r="AF21" s="308"/>
      <c r="AG21" s="316" t="s">
        <v>119</v>
      </c>
      <c r="AH21" s="312">
        <f>AH20/AI15</f>
        <v>28.129394141552172</v>
      </c>
      <c r="AI21" s="308"/>
      <c r="AJ21" s="308"/>
      <c r="AK21" s="308"/>
      <c r="AL21" s="308"/>
      <c r="AM21" s="308"/>
      <c r="AN21" s="308"/>
      <c r="AO21" s="308"/>
      <c r="AP21" s="308"/>
      <c r="AQ21" s="308" t="s">
        <v>224</v>
      </c>
      <c r="AR21" s="308">
        <f>AR22*AI15</f>
        <v>108.99746418333486</v>
      </c>
      <c r="AS21" s="308"/>
      <c r="AT21" s="308"/>
      <c r="AU21" s="308" t="s">
        <v>226</v>
      </c>
      <c r="AV21" s="308"/>
      <c r="AW21" s="307"/>
      <c r="AX21" s="307"/>
      <c r="AY21" s="307"/>
      <c r="AZ21" s="27"/>
      <c r="BA21" s="27"/>
      <c r="BB21" s="27"/>
      <c r="BC21" s="27"/>
      <c r="BD21" s="27"/>
    </row>
    <row r="22" spans="1:56" x14ac:dyDescent="0.2">
      <c r="A22" s="18"/>
      <c r="B22" s="18"/>
      <c r="C22" s="18"/>
      <c r="D22" s="18"/>
      <c r="E22" s="18"/>
      <c r="F22" s="9"/>
      <c r="G22" s="9"/>
      <c r="H22" s="9"/>
      <c r="I22" s="9"/>
      <c r="J22" s="33"/>
      <c r="K22" s="7" t="s">
        <v>103</v>
      </c>
      <c r="L22" s="95">
        <f>K16*1000</f>
        <v>17.552600000000005</v>
      </c>
      <c r="M22" s="7"/>
      <c r="N22" s="7"/>
      <c r="O22" s="87" t="s">
        <v>100</v>
      </c>
      <c r="P22" s="87"/>
      <c r="Q22" s="87"/>
      <c r="R22" s="87"/>
      <c r="S22" s="87"/>
      <c r="T22" s="89"/>
      <c r="U22" s="190" t="s">
        <v>192</v>
      </c>
      <c r="V22" s="190"/>
      <c r="W22" s="190"/>
      <c r="X22" s="190"/>
      <c r="Y22" s="190"/>
      <c r="Z22" s="194"/>
      <c r="AA22" s="2"/>
      <c r="AB22" s="308"/>
      <c r="AC22" s="308" t="s">
        <v>188</v>
      </c>
      <c r="AD22" s="308"/>
      <c r="AE22" s="308"/>
      <c r="AF22" s="308"/>
      <c r="AG22" s="316"/>
      <c r="AH22" s="308"/>
      <c r="AI22" s="308"/>
      <c r="AJ22" s="308"/>
      <c r="AK22" s="308"/>
      <c r="AL22" s="308"/>
      <c r="AM22" s="308"/>
      <c r="AN22" s="308"/>
      <c r="AO22" s="308"/>
      <c r="AP22" s="308"/>
      <c r="AQ22" s="308" t="s">
        <v>225</v>
      </c>
      <c r="AR22" s="308">
        <f>H50*AQ19</f>
        <v>18.166244030555809</v>
      </c>
      <c r="AS22" s="308"/>
      <c r="AT22" s="308"/>
      <c r="AU22" s="308">
        <f>AR21*AG48</f>
        <v>326.99239255000458</v>
      </c>
      <c r="AV22" s="308"/>
      <c r="AW22" s="307"/>
      <c r="AX22" s="307"/>
      <c r="AY22" s="307"/>
      <c r="AZ22" s="27"/>
      <c r="BA22" s="27"/>
      <c r="BB22" s="27"/>
      <c r="BC22" s="27"/>
      <c r="BD22" s="27"/>
    </row>
    <row r="23" spans="1:56" ht="15.75" thickBot="1" x14ac:dyDescent="0.25">
      <c r="A23" s="18"/>
      <c r="B23" s="18"/>
      <c r="C23" s="18"/>
      <c r="D23" s="18"/>
      <c r="E23" s="31" t="s">
        <v>34</v>
      </c>
      <c r="F23" s="32"/>
      <c r="G23" s="7"/>
      <c r="H23" s="9"/>
      <c r="I23" s="9"/>
      <c r="J23" s="33"/>
      <c r="K23" s="96"/>
      <c r="L23" s="97"/>
      <c r="M23" s="97"/>
      <c r="N23" s="7"/>
      <c r="O23" s="87" t="s">
        <v>101</v>
      </c>
      <c r="P23" s="87"/>
      <c r="Q23" s="87"/>
      <c r="R23" s="98"/>
      <c r="S23" s="98"/>
      <c r="T23" s="99"/>
      <c r="U23" s="190" t="s">
        <v>203</v>
      </c>
      <c r="V23" s="190"/>
      <c r="W23" s="190"/>
      <c r="X23" s="190"/>
      <c r="Y23" s="190"/>
      <c r="Z23" s="195"/>
      <c r="AA23" s="2"/>
      <c r="AB23" s="308"/>
      <c r="AC23" s="312">
        <f>0.736*C11</f>
        <v>3.6799999999999997</v>
      </c>
      <c r="AD23" s="308"/>
      <c r="AE23" s="308"/>
      <c r="AF23" s="308" t="s">
        <v>124</v>
      </c>
      <c r="AG23" s="308">
        <f>4.44*I11*AH20*S3</f>
        <v>43298.428722810284</v>
      </c>
      <c r="AH23" s="308"/>
      <c r="AI23" s="308" t="s">
        <v>71</v>
      </c>
      <c r="AJ23" s="308"/>
      <c r="AK23" s="308"/>
      <c r="AL23" s="308" t="s">
        <v>126</v>
      </c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7"/>
      <c r="AX23" s="307"/>
      <c r="AY23" s="307"/>
      <c r="AZ23" s="27"/>
      <c r="BA23" s="27"/>
      <c r="BB23" s="27"/>
      <c r="BC23" s="27"/>
      <c r="BD23" s="27"/>
    </row>
    <row r="24" spans="1:56" ht="15.75" thickBot="1" x14ac:dyDescent="0.25">
      <c r="A24" s="18"/>
      <c r="B24" s="18"/>
      <c r="C24" s="18"/>
      <c r="D24" s="18"/>
      <c r="E24" s="31" t="s">
        <v>28</v>
      </c>
      <c r="F24" s="32"/>
      <c r="G24" s="7"/>
      <c r="H24" s="9"/>
      <c r="I24" s="158"/>
      <c r="J24" s="33"/>
      <c r="K24" s="100"/>
      <c r="L24" s="100"/>
      <c r="M24" s="100"/>
      <c r="N24" s="262" t="s">
        <v>70</v>
      </c>
      <c r="O24" s="263"/>
      <c r="P24" s="263"/>
      <c r="Q24" s="264"/>
      <c r="R24" s="101"/>
      <c r="S24" s="101"/>
      <c r="T24" s="102"/>
      <c r="U24" s="214" t="s">
        <v>206</v>
      </c>
      <c r="V24" s="215"/>
      <c r="W24" s="215"/>
      <c r="X24" s="215"/>
      <c r="Y24" s="215"/>
      <c r="Z24" s="216"/>
      <c r="AA24" s="2"/>
      <c r="AB24" s="308"/>
      <c r="AC24" s="308">
        <f>AE10*AE10</f>
        <v>1.0000000000000002E-2</v>
      </c>
      <c r="AD24" s="308"/>
      <c r="AE24" s="318"/>
      <c r="AF24" s="316" t="s">
        <v>125</v>
      </c>
      <c r="AG24" s="308">
        <f>C13/AG23</f>
        <v>8.7763000000000025E-3</v>
      </c>
      <c r="AH24" s="308"/>
      <c r="AI24" s="308">
        <f>O16/AG10</f>
        <v>0.43000000000000005</v>
      </c>
      <c r="AJ24" s="308"/>
      <c r="AK24" s="308"/>
      <c r="AL24" s="308"/>
      <c r="AM24" s="308">
        <f>O16/AN24</f>
        <v>0.98698830409356741</v>
      </c>
      <c r="AN24" s="308">
        <f>H52*AE14*AE12</f>
        <v>8.8920000000000006E-3</v>
      </c>
      <c r="AO24" s="308"/>
      <c r="AP24" s="308"/>
      <c r="AQ24" s="308"/>
      <c r="AR24" s="308">
        <f>AR21/I46</f>
        <v>71.240172668846313</v>
      </c>
      <c r="AS24" s="308"/>
      <c r="AT24" s="308"/>
      <c r="AU24" s="308" t="s">
        <v>227</v>
      </c>
      <c r="AV24" s="308"/>
      <c r="AW24" s="307"/>
      <c r="AX24" s="307"/>
      <c r="AY24" s="307"/>
      <c r="AZ24" s="27"/>
      <c r="BA24" s="27"/>
      <c r="BB24" s="27"/>
      <c r="BC24" s="27"/>
      <c r="BD24" s="27"/>
    </row>
    <row r="25" spans="1:56" ht="15.75" thickTop="1" x14ac:dyDescent="0.2">
      <c r="A25" s="18"/>
      <c r="B25" s="18"/>
      <c r="C25" s="18"/>
      <c r="D25" s="18"/>
      <c r="E25" s="172" t="s">
        <v>261</v>
      </c>
      <c r="F25" s="172"/>
      <c r="G25" s="172"/>
      <c r="H25" s="172"/>
      <c r="I25" s="173"/>
      <c r="J25" s="112"/>
      <c r="K25" s="265" t="s">
        <v>71</v>
      </c>
      <c r="L25" s="226"/>
      <c r="M25" s="226"/>
      <c r="N25" s="9"/>
      <c r="O25" s="226" t="s">
        <v>73</v>
      </c>
      <c r="P25" s="226"/>
      <c r="Q25" s="7"/>
      <c r="R25" s="226" t="s">
        <v>72</v>
      </c>
      <c r="S25" s="226"/>
      <c r="T25" s="233"/>
      <c r="U25" s="292" t="s">
        <v>132</v>
      </c>
      <c r="V25" s="293"/>
      <c r="W25" s="69">
        <f>O29</f>
        <v>394.60020768431986</v>
      </c>
      <c r="X25" s="18"/>
      <c r="Y25" s="18"/>
      <c r="Z25" s="70"/>
      <c r="AA25" s="3"/>
      <c r="AB25" s="308"/>
      <c r="AC25" s="308">
        <f>AC24*AE12</f>
        <v>1.3000000000000004E-3</v>
      </c>
      <c r="AD25" s="308"/>
      <c r="AE25" s="308"/>
      <c r="AF25" s="310" t="s">
        <v>72</v>
      </c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15">
        <f>0.01724*AR24</f>
        <v>1.2281805768109104</v>
      </c>
      <c r="AR25" s="308"/>
      <c r="AS25" s="308"/>
      <c r="AT25" s="308"/>
      <c r="AU25" s="315">
        <f>AU22*I46*0.00889</f>
        <v>4.4476524257473971</v>
      </c>
      <c r="AV25" s="308"/>
      <c r="AW25" s="307"/>
      <c r="AX25" s="307"/>
      <c r="AY25" s="307"/>
      <c r="AZ25" s="27"/>
      <c r="BA25" s="27"/>
      <c r="BB25" s="27"/>
      <c r="BC25" s="27"/>
      <c r="BD25" s="27"/>
    </row>
    <row r="26" spans="1:56" x14ac:dyDescent="0.2">
      <c r="A26" s="18"/>
      <c r="B26" s="18"/>
      <c r="C26" s="18"/>
      <c r="D26" s="18"/>
      <c r="E26" s="174" t="s">
        <v>268</v>
      </c>
      <c r="F26" s="174" t="s">
        <v>274</v>
      </c>
      <c r="G26" s="174" t="s">
        <v>270</v>
      </c>
      <c r="H26" s="175" t="s">
        <v>277</v>
      </c>
      <c r="I26" s="176" t="s">
        <v>273</v>
      </c>
      <c r="J26" s="177" t="s">
        <v>280</v>
      </c>
      <c r="K26" s="266">
        <f>AI24</f>
        <v>0.43000000000000005</v>
      </c>
      <c r="L26" s="267"/>
      <c r="M26" s="268"/>
      <c r="N26" s="9"/>
      <c r="O26" s="302">
        <f>AM24</f>
        <v>0.98698830409356741</v>
      </c>
      <c r="P26" s="303"/>
      <c r="Q26" s="7"/>
      <c r="R26" s="304">
        <f>AG26</f>
        <v>0.88665615970580536</v>
      </c>
      <c r="S26" s="305"/>
      <c r="T26" s="306"/>
      <c r="U26" s="292" t="s">
        <v>143</v>
      </c>
      <c r="V26" s="293"/>
      <c r="W26" s="71">
        <f>C13</f>
        <v>380</v>
      </c>
      <c r="X26" s="18"/>
      <c r="Y26" s="18"/>
      <c r="Z26" s="33"/>
      <c r="AB26" s="308"/>
      <c r="AC26" s="311">
        <f>AC23/AC25</f>
        <v>2830.7692307692296</v>
      </c>
      <c r="AD26" s="308">
        <f>AC26/1000</f>
        <v>2.8307692307692296</v>
      </c>
      <c r="AE26" s="308"/>
      <c r="AF26" s="308" t="s">
        <v>129</v>
      </c>
      <c r="AG26" s="308">
        <f>O16/AF27</f>
        <v>0.88665615970580536</v>
      </c>
      <c r="AH26" s="308"/>
      <c r="AI26" s="308" t="s">
        <v>131</v>
      </c>
      <c r="AJ26" s="308"/>
      <c r="AK26" s="308"/>
      <c r="AL26" s="308" t="s">
        <v>144</v>
      </c>
      <c r="AM26" s="308"/>
      <c r="AN26" s="308"/>
      <c r="AO26" s="308"/>
      <c r="AP26" s="308"/>
      <c r="AQ26" s="308"/>
      <c r="AR26" s="308"/>
      <c r="AS26" s="308"/>
      <c r="AT26" s="308"/>
      <c r="AU26" s="315">
        <f>AU25+20%</f>
        <v>4.6476524257473972</v>
      </c>
      <c r="AV26" s="308"/>
      <c r="AW26" s="307"/>
      <c r="AX26" s="307"/>
      <c r="AY26" s="307"/>
      <c r="AZ26" s="27"/>
      <c r="BA26" s="27"/>
      <c r="BB26" s="27"/>
      <c r="BC26" s="27"/>
      <c r="BD26" s="27"/>
    </row>
    <row r="27" spans="1:56" x14ac:dyDescent="0.2">
      <c r="A27" s="18"/>
      <c r="B27" s="18"/>
      <c r="C27" s="18"/>
      <c r="D27" s="18"/>
      <c r="E27" s="174" t="s">
        <v>262</v>
      </c>
      <c r="F27" s="174" t="s">
        <v>275</v>
      </c>
      <c r="G27" s="174" t="s">
        <v>271</v>
      </c>
      <c r="H27" s="174" t="s">
        <v>278</v>
      </c>
      <c r="I27" s="8" t="s">
        <v>281</v>
      </c>
      <c r="J27" s="159"/>
      <c r="K27" s="11"/>
      <c r="L27" s="11"/>
      <c r="M27" s="11"/>
      <c r="N27" s="11"/>
      <c r="O27" s="11"/>
      <c r="P27" s="11"/>
      <c r="Q27" s="11"/>
      <c r="R27" s="11"/>
      <c r="S27" s="11"/>
      <c r="T27" s="103"/>
      <c r="U27" s="68" t="s">
        <v>133</v>
      </c>
      <c r="V27" s="72">
        <f>W26/W25</f>
        <v>0.96299999999999997</v>
      </c>
      <c r="W27" s="18" t="s">
        <v>134</v>
      </c>
      <c r="X27" s="18"/>
      <c r="Y27" s="18"/>
      <c r="Z27" s="33"/>
      <c r="AB27" s="308"/>
      <c r="AC27" s="308"/>
      <c r="AD27" s="308"/>
      <c r="AE27" s="308"/>
      <c r="AF27" s="308">
        <f>(AD20-AE10)*AE12*0.94</f>
        <v>9.8981999999999994E-3</v>
      </c>
      <c r="AG27" s="308"/>
      <c r="AH27" s="308"/>
      <c r="AI27" s="313">
        <f>AD20+AE10</f>
        <v>0.28100000000000003</v>
      </c>
      <c r="AJ27" s="308">
        <f>AI27/2</f>
        <v>0.14050000000000001</v>
      </c>
      <c r="AK27" s="308"/>
      <c r="AL27" s="308" t="s">
        <v>145</v>
      </c>
      <c r="AM27" s="308">
        <f>E15/2+I18</f>
        <v>108.25</v>
      </c>
      <c r="AN27" s="308"/>
      <c r="AO27" s="308"/>
      <c r="AP27" s="308"/>
      <c r="AQ27" s="308" t="s">
        <v>233</v>
      </c>
      <c r="AR27" s="308"/>
      <c r="AS27" s="308"/>
      <c r="AT27" s="308"/>
      <c r="AU27" s="308"/>
      <c r="AV27" s="308"/>
      <c r="AW27" s="307"/>
      <c r="AX27" s="307"/>
      <c r="AY27" s="307"/>
      <c r="AZ27" s="27"/>
      <c r="BA27" s="27"/>
      <c r="BB27" s="27"/>
      <c r="BC27" s="27"/>
      <c r="BD27" s="27"/>
    </row>
    <row r="28" spans="1:56" x14ac:dyDescent="0.2">
      <c r="A28" s="9"/>
      <c r="B28" s="9"/>
      <c r="C28" s="9"/>
      <c r="D28" s="9"/>
      <c r="E28" s="176" t="s">
        <v>269</v>
      </c>
      <c r="F28" s="176" t="s">
        <v>276</v>
      </c>
      <c r="G28" s="176" t="s">
        <v>272</v>
      </c>
      <c r="H28" s="176" t="s">
        <v>279</v>
      </c>
      <c r="I28" s="160">
        <v>0.55000000000000004</v>
      </c>
      <c r="J28" s="111"/>
      <c r="K28" s="265" t="s">
        <v>127</v>
      </c>
      <c r="L28" s="226"/>
      <c r="M28" s="226"/>
      <c r="N28" s="11"/>
      <c r="O28" s="226" t="s">
        <v>75</v>
      </c>
      <c r="P28" s="226"/>
      <c r="Q28" s="11"/>
      <c r="R28" s="226" t="s">
        <v>76</v>
      </c>
      <c r="S28" s="226"/>
      <c r="T28" s="233"/>
      <c r="U28" s="73" t="s">
        <v>136</v>
      </c>
      <c r="V28" s="31"/>
      <c r="W28" s="31"/>
      <c r="X28" s="31"/>
      <c r="Y28" s="18"/>
      <c r="Z28" s="33"/>
      <c r="AB28" s="308"/>
      <c r="AC28" s="308"/>
      <c r="AD28" s="308"/>
      <c r="AE28" s="308"/>
      <c r="AF28" s="308"/>
      <c r="AG28" s="308"/>
      <c r="AH28" s="308"/>
      <c r="AI28" s="308">
        <f>O16*AJ27</f>
        <v>1.2330701500000004E-3</v>
      </c>
      <c r="AJ28" s="308"/>
      <c r="AK28" s="308"/>
      <c r="AL28" s="308" t="s">
        <v>146</v>
      </c>
      <c r="AM28" s="308">
        <f>AM27*3.14</f>
        <v>339.90500000000003</v>
      </c>
      <c r="AN28" s="308"/>
      <c r="AO28" s="308"/>
      <c r="AP28" s="308"/>
      <c r="AQ28" s="308">
        <f>AR28/AQ30</f>
        <v>9.9960884871137367E-3</v>
      </c>
      <c r="AR28" s="308">
        <f>0.736*C11</f>
        <v>3.6799999999999997</v>
      </c>
      <c r="AS28" s="308"/>
      <c r="AT28" s="308">
        <f>1.73*D13*AQ29*F10</f>
        <v>639.4079999999999</v>
      </c>
      <c r="AU28" s="308"/>
      <c r="AV28" s="308"/>
      <c r="AW28" s="307"/>
      <c r="AX28" s="307"/>
      <c r="AY28" s="307"/>
      <c r="AZ28" s="27"/>
      <c r="BA28" s="27"/>
      <c r="BB28" s="27"/>
      <c r="BC28" s="27"/>
      <c r="BD28" s="27"/>
    </row>
    <row r="29" spans="1:56" ht="16.5" x14ac:dyDescent="0.25">
      <c r="A29" s="34" t="s">
        <v>29</v>
      </c>
      <c r="B29" s="9"/>
      <c r="C29" s="9"/>
      <c r="D29" s="34" t="s">
        <v>30</v>
      </c>
      <c r="E29" s="9"/>
      <c r="F29" s="9"/>
      <c r="G29" s="34" t="s">
        <v>74</v>
      </c>
      <c r="H29" s="35"/>
      <c r="I29" s="35"/>
      <c r="J29" s="10"/>
      <c r="K29" s="11"/>
      <c r="L29" s="104">
        <f>O26/K26</f>
        <v>2.2953216374269005</v>
      </c>
      <c r="M29" s="8" t="s">
        <v>128</v>
      </c>
      <c r="N29" s="11"/>
      <c r="O29" s="269">
        <f>AI31</f>
        <v>394.60020768431986</v>
      </c>
      <c r="P29" s="270"/>
      <c r="Q29" s="11"/>
      <c r="R29" s="294">
        <f>AQ10/1000</f>
        <v>0.17542103178590235</v>
      </c>
      <c r="S29" s="295"/>
      <c r="T29" s="296"/>
      <c r="U29" s="73" t="s">
        <v>135</v>
      </c>
      <c r="V29" s="31"/>
      <c r="W29" s="31"/>
      <c r="X29" s="31"/>
      <c r="Y29" s="18"/>
      <c r="Z29" s="33"/>
      <c r="AB29" s="310"/>
      <c r="AC29" s="308"/>
      <c r="AD29" s="308"/>
      <c r="AE29" s="308"/>
      <c r="AF29" s="313"/>
      <c r="AG29" s="308"/>
      <c r="AH29" s="308"/>
      <c r="AI29" s="308">
        <f>4.44*I11</f>
        <v>266.40000000000003</v>
      </c>
      <c r="AJ29" s="308"/>
      <c r="AK29" s="308"/>
      <c r="AL29" s="308" t="s">
        <v>147</v>
      </c>
      <c r="AM29" s="308">
        <f>AM28-AL31</f>
        <v>203.10500000000005</v>
      </c>
      <c r="AN29" s="308"/>
      <c r="AO29" s="308"/>
      <c r="AP29" s="308"/>
      <c r="AQ29" s="308">
        <f>F11/100</f>
        <v>0.7</v>
      </c>
      <c r="AR29" s="308"/>
      <c r="AS29" s="308"/>
      <c r="AT29" s="308">
        <f>AR28/AT28</f>
        <v>5.7553236743988195E-3</v>
      </c>
      <c r="AU29" s="308"/>
      <c r="AV29" s="308"/>
      <c r="AW29" s="307"/>
      <c r="AX29" s="307"/>
      <c r="AY29" s="307"/>
      <c r="AZ29" s="27"/>
      <c r="BA29" s="27"/>
      <c r="BB29" s="27"/>
      <c r="BC29" s="27"/>
      <c r="BD29" s="27"/>
    </row>
    <row r="30" spans="1:56" ht="15" customHeight="1" x14ac:dyDescent="0.25">
      <c r="A30" s="276">
        <f>AM31</f>
        <v>93.089791666666684</v>
      </c>
      <c r="B30" s="277"/>
      <c r="C30" s="9"/>
      <c r="D30" s="220">
        <f>(I15+E15)*2+I18</f>
        <v>181</v>
      </c>
      <c r="E30" s="221"/>
      <c r="F30" s="9"/>
      <c r="G30" s="272">
        <f>AJ35/AM31</f>
        <v>0.46232752556460749</v>
      </c>
      <c r="H30" s="273"/>
      <c r="I30" s="9"/>
      <c r="J30" s="10"/>
      <c r="K30" s="297" t="s">
        <v>77</v>
      </c>
      <c r="L30" s="298"/>
      <c r="M30" s="105"/>
      <c r="N30" s="105"/>
      <c r="O30" s="301" t="s">
        <v>78</v>
      </c>
      <c r="P30" s="301"/>
      <c r="Q30" s="105"/>
      <c r="R30" s="105"/>
      <c r="S30" s="106" t="s">
        <v>79</v>
      </c>
      <c r="T30" s="107"/>
      <c r="U30" s="73" t="s">
        <v>137</v>
      </c>
      <c r="V30" s="31"/>
      <c r="W30" s="31"/>
      <c r="X30" s="74"/>
      <c r="Y30" s="18"/>
      <c r="Z30" s="33"/>
      <c r="AB30" s="308"/>
      <c r="AC30" s="308"/>
      <c r="AD30" s="308"/>
      <c r="AE30" s="315"/>
      <c r="AF30" s="308"/>
      <c r="AG30" s="308"/>
      <c r="AH30" s="308"/>
      <c r="AI30" s="308">
        <f>AI29*AH20</f>
        <v>44962.023595856997</v>
      </c>
      <c r="AJ30" s="308"/>
      <c r="AK30" s="308"/>
      <c r="AL30" s="308" t="s">
        <v>148</v>
      </c>
      <c r="AM30" s="308">
        <f>AM29/I16</f>
        <v>5.6418055555555569</v>
      </c>
      <c r="AN30" s="308"/>
      <c r="AO30" s="308"/>
      <c r="AP30" s="308"/>
      <c r="AQ30" s="308">
        <f>1.73*C13*AQ29*F10</f>
        <v>368.14400000000001</v>
      </c>
      <c r="AR30" s="308"/>
      <c r="AS30" s="308"/>
      <c r="AT30" s="312">
        <f>AT29*1000</f>
        <v>5.7553236743988192</v>
      </c>
      <c r="AU30" s="308"/>
      <c r="AV30" s="308"/>
      <c r="AW30" s="307"/>
      <c r="AX30" s="307"/>
      <c r="AY30" s="307"/>
      <c r="AZ30" s="27"/>
      <c r="BA30" s="27"/>
      <c r="BB30" s="27"/>
      <c r="BC30" s="27"/>
      <c r="BD30" s="27"/>
    </row>
    <row r="31" spans="1:56" ht="15.75" customHeight="1" x14ac:dyDescent="0.25">
      <c r="A31" s="278"/>
      <c r="B31" s="279"/>
      <c r="C31" s="9"/>
      <c r="D31" s="222"/>
      <c r="E31" s="223"/>
      <c r="F31" s="9"/>
      <c r="G31" s="274"/>
      <c r="H31" s="275"/>
      <c r="I31" s="9"/>
      <c r="J31" s="10"/>
      <c r="K31" s="108" t="s">
        <v>88</v>
      </c>
      <c r="L31" s="109"/>
      <c r="M31" s="110"/>
      <c r="N31" s="110"/>
      <c r="O31" s="299" t="s">
        <v>87</v>
      </c>
      <c r="P31" s="299"/>
      <c r="Q31" s="105"/>
      <c r="R31" s="105"/>
      <c r="S31" s="298" t="s">
        <v>80</v>
      </c>
      <c r="T31" s="300"/>
      <c r="U31" s="75" t="s">
        <v>138</v>
      </c>
      <c r="V31" s="66"/>
      <c r="W31" s="66"/>
      <c r="X31" s="66"/>
      <c r="Y31" s="66"/>
      <c r="Z31" s="67"/>
      <c r="AB31" s="312"/>
      <c r="AC31" s="308"/>
      <c r="AD31" s="308"/>
      <c r="AE31" s="308"/>
      <c r="AF31" s="308"/>
      <c r="AG31" s="308"/>
      <c r="AH31" s="308"/>
      <c r="AI31" s="312">
        <f>AI30*O16</f>
        <v>394.60020768431986</v>
      </c>
      <c r="AJ31" s="308"/>
      <c r="AK31" s="308"/>
      <c r="AL31" s="308">
        <f>I16*E16</f>
        <v>136.79999999999998</v>
      </c>
      <c r="AM31" s="308">
        <f>AM30*E15</f>
        <v>93.089791666666684</v>
      </c>
      <c r="AN31" s="319"/>
      <c r="AO31" s="314"/>
      <c r="AP31" s="308"/>
      <c r="AQ31" s="312">
        <f>AQ28*1000</f>
        <v>9.9960884871137363</v>
      </c>
      <c r="AR31" s="308"/>
      <c r="AS31" s="308"/>
      <c r="AT31" s="308"/>
      <c r="AU31" s="308"/>
      <c r="AV31" s="308"/>
      <c r="AW31" s="307"/>
      <c r="AX31" s="307"/>
      <c r="AY31" s="307"/>
      <c r="AZ31" s="27"/>
      <c r="BA31" s="27"/>
      <c r="BB31" s="27"/>
      <c r="BC31" s="27"/>
      <c r="BD31" s="27"/>
    </row>
    <row r="32" spans="1:56" ht="15.75" thickBot="1" x14ac:dyDescent="0.25">
      <c r="A32" s="1"/>
      <c r="B32" s="1"/>
      <c r="C32" s="1"/>
      <c r="D32" s="224" t="s">
        <v>40</v>
      </c>
      <c r="E32" s="224"/>
      <c r="F32" s="224"/>
      <c r="G32" s="225"/>
      <c r="H32" s="1"/>
      <c r="I32" s="1"/>
      <c r="J32" s="6"/>
      <c r="K32" s="8" t="s">
        <v>81</v>
      </c>
      <c r="L32" s="8"/>
      <c r="M32" s="8"/>
      <c r="N32" s="8"/>
      <c r="O32" s="8"/>
      <c r="P32" s="112"/>
      <c r="Q32" s="112"/>
      <c r="R32" s="112"/>
      <c r="S32" s="112"/>
      <c r="T32" s="182"/>
      <c r="U32" s="75" t="s">
        <v>139</v>
      </c>
      <c r="V32" s="66"/>
      <c r="W32" s="66"/>
      <c r="X32" s="66"/>
      <c r="Y32" s="66"/>
      <c r="Z32" s="67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7"/>
      <c r="AX32" s="307"/>
      <c r="AY32" s="307"/>
      <c r="AZ32" s="27"/>
      <c r="BA32" s="27"/>
      <c r="BB32" s="27"/>
      <c r="BC32" s="27"/>
      <c r="BD32" s="27"/>
    </row>
    <row r="33" spans="1:56" ht="15.75" thickTop="1" x14ac:dyDescent="0.2">
      <c r="A33" s="226" t="s">
        <v>158</v>
      </c>
      <c r="B33" s="226"/>
      <c r="C33" s="226"/>
      <c r="D33" s="229" t="s">
        <v>58</v>
      </c>
      <c r="E33" s="229"/>
      <c r="F33" s="229"/>
      <c r="G33" s="229"/>
      <c r="H33" s="229"/>
      <c r="I33" s="19" t="s">
        <v>59</v>
      </c>
      <c r="J33" s="33" t="s">
        <v>60</v>
      </c>
      <c r="K33" s="8" t="s">
        <v>82</v>
      </c>
      <c r="L33" s="8"/>
      <c r="M33" s="8"/>
      <c r="N33" s="8"/>
      <c r="O33" s="8"/>
      <c r="P33" s="8"/>
      <c r="Q33" s="8"/>
      <c r="R33" s="8"/>
      <c r="S33" s="8"/>
      <c r="T33" s="111"/>
      <c r="U33" s="75" t="s">
        <v>140</v>
      </c>
      <c r="V33" s="66"/>
      <c r="W33" s="66"/>
      <c r="X33" s="66"/>
      <c r="Y33" s="66"/>
      <c r="Z33" s="67"/>
      <c r="AB33" s="312"/>
      <c r="AC33" s="308"/>
      <c r="AD33" s="308"/>
      <c r="AE33" s="308"/>
      <c r="AF33" s="308"/>
      <c r="AG33" s="308"/>
      <c r="AH33" s="308"/>
      <c r="AI33" s="308"/>
      <c r="AJ33" s="308"/>
      <c r="AK33" s="308"/>
      <c r="AL33" s="308"/>
      <c r="AM33" s="308"/>
      <c r="AN33" s="319"/>
      <c r="AO33" s="308"/>
      <c r="AP33" s="308"/>
      <c r="AQ33" s="308"/>
      <c r="AR33" s="308"/>
      <c r="AS33" s="308"/>
      <c r="AT33" s="308"/>
      <c r="AU33" s="308"/>
      <c r="AV33" s="308"/>
      <c r="AW33" s="307"/>
      <c r="AX33" s="307"/>
      <c r="AY33" s="307"/>
      <c r="AZ33" s="27"/>
      <c r="BA33" s="27"/>
      <c r="BB33" s="27"/>
      <c r="BC33" s="27"/>
      <c r="BD33" s="27"/>
    </row>
    <row r="34" spans="1:56" x14ac:dyDescent="0.2">
      <c r="A34" s="9"/>
      <c r="B34" s="150">
        <f>G13/F34</f>
        <v>12</v>
      </c>
      <c r="C34" s="9" t="s">
        <v>159</v>
      </c>
      <c r="D34" s="9"/>
      <c r="E34" s="9"/>
      <c r="F34" s="12">
        <v>1</v>
      </c>
      <c r="G34" s="9"/>
      <c r="H34" s="9"/>
      <c r="I34" s="12">
        <v>1</v>
      </c>
      <c r="J34" s="33" t="s">
        <v>61</v>
      </c>
      <c r="K34" s="8" t="s">
        <v>83</v>
      </c>
      <c r="L34" s="8"/>
      <c r="M34" s="8"/>
      <c r="N34" s="8"/>
      <c r="O34" s="8"/>
      <c r="P34" s="8"/>
      <c r="Q34" s="8"/>
      <c r="R34" s="8"/>
      <c r="S34" s="8"/>
      <c r="T34" s="111"/>
      <c r="U34" s="75" t="s">
        <v>141</v>
      </c>
      <c r="V34" s="66"/>
      <c r="W34" s="66"/>
      <c r="X34" s="66"/>
      <c r="Y34" s="66"/>
      <c r="Z34" s="67"/>
      <c r="AB34" s="308"/>
      <c r="AC34" s="308"/>
      <c r="AD34" s="308"/>
      <c r="AE34" s="308"/>
      <c r="AF34" s="308" t="s">
        <v>149</v>
      </c>
      <c r="AG34" s="308"/>
      <c r="AH34" s="308"/>
      <c r="AI34" s="308" t="s">
        <v>74</v>
      </c>
      <c r="AJ34" s="308"/>
      <c r="AK34" s="308"/>
      <c r="AL34" s="308" t="s">
        <v>151</v>
      </c>
      <c r="AM34" s="308"/>
      <c r="AN34" s="308"/>
      <c r="AO34" s="314"/>
      <c r="AP34" s="308"/>
      <c r="AQ34" s="308"/>
      <c r="AR34" s="308"/>
      <c r="AS34" s="308"/>
      <c r="AT34" s="308"/>
      <c r="AU34" s="308"/>
      <c r="AV34" s="308"/>
      <c r="AW34" s="307"/>
      <c r="AX34" s="307"/>
      <c r="AY34" s="307"/>
      <c r="AZ34" s="27"/>
      <c r="BA34" s="27"/>
      <c r="BB34" s="27"/>
      <c r="BC34" s="27"/>
      <c r="BD34" s="27"/>
    </row>
    <row r="35" spans="1:56" x14ac:dyDescent="0.2">
      <c r="A35" s="226" t="s">
        <v>67</v>
      </c>
      <c r="B35" s="226"/>
      <c r="C35" s="226"/>
      <c r="D35" s="18"/>
      <c r="E35" s="18"/>
      <c r="F35" s="18"/>
      <c r="G35" s="18"/>
      <c r="H35" s="18"/>
      <c r="I35" s="18"/>
      <c r="J35" s="33"/>
      <c r="K35" s="87" t="s">
        <v>86</v>
      </c>
      <c r="L35" s="112"/>
      <c r="M35" s="112"/>
      <c r="N35" s="112"/>
      <c r="O35" s="112"/>
      <c r="P35" s="112"/>
      <c r="Q35" s="112"/>
      <c r="R35" s="112"/>
      <c r="S35" s="112"/>
      <c r="T35" s="182"/>
      <c r="U35" s="76" t="s">
        <v>142</v>
      </c>
      <c r="V35" s="59"/>
      <c r="W35" s="59"/>
      <c r="X35" s="59"/>
      <c r="Y35" s="59"/>
      <c r="Z35" s="33"/>
      <c r="AB35" s="308"/>
      <c r="AC35" s="308"/>
      <c r="AD35" s="308"/>
      <c r="AE35" s="308"/>
      <c r="AF35" s="311">
        <f>G13*AH20</f>
        <v>2025.3163781917565</v>
      </c>
      <c r="AG35" s="312">
        <f>AF35/AF36</f>
        <v>1.5414258188824661</v>
      </c>
      <c r="AH35" s="315"/>
      <c r="AI35" s="312">
        <f>AF43*AH21</f>
        <v>43.037973036574826</v>
      </c>
      <c r="AJ35" s="308">
        <f>AI35*B53</f>
        <v>43.037973036574826</v>
      </c>
      <c r="AK35" s="308"/>
      <c r="AL35" s="308" t="s">
        <v>152</v>
      </c>
      <c r="AM35" s="308">
        <v>2</v>
      </c>
      <c r="AN35" s="308">
        <v>6.53</v>
      </c>
      <c r="AO35" s="308"/>
      <c r="AP35" s="308"/>
      <c r="AQ35" s="308"/>
      <c r="AR35" s="308"/>
      <c r="AS35" s="308"/>
      <c r="AT35" s="27"/>
      <c r="AU35" s="27"/>
      <c r="AV35" s="27"/>
      <c r="AW35" s="80"/>
      <c r="AX35" s="80"/>
      <c r="AY35" s="80"/>
      <c r="AZ35" s="27"/>
      <c r="BA35" s="27"/>
      <c r="BB35" s="27"/>
      <c r="BC35" s="27"/>
      <c r="BD35" s="27"/>
    </row>
    <row r="36" spans="1:56" ht="15.75" thickBot="1" x14ac:dyDescent="0.25">
      <c r="A36" s="166">
        <f>D13/1.73</f>
        <v>381.50289017341044</v>
      </c>
      <c r="B36" s="151" t="s">
        <v>157</v>
      </c>
      <c r="C36" s="153">
        <f>C13*1</f>
        <v>380</v>
      </c>
      <c r="D36" s="18"/>
      <c r="E36" s="271" t="s">
        <v>63</v>
      </c>
      <c r="F36" s="271"/>
      <c r="G36" s="271"/>
      <c r="H36" s="290" t="s">
        <v>71</v>
      </c>
      <c r="I36" s="290"/>
      <c r="J36" s="291"/>
      <c r="K36" s="87" t="s">
        <v>84</v>
      </c>
      <c r="L36" s="87"/>
      <c r="M36" s="87"/>
      <c r="N36" s="87"/>
      <c r="O36" s="87"/>
      <c r="P36" s="87"/>
      <c r="Q36" s="87"/>
      <c r="R36" s="87"/>
      <c r="S36" s="112"/>
      <c r="T36" s="182"/>
      <c r="U36" s="76" t="s">
        <v>179</v>
      </c>
      <c r="V36" s="59"/>
      <c r="W36" s="59"/>
      <c r="X36" s="59"/>
      <c r="Y36" s="59"/>
      <c r="Z36" s="33"/>
      <c r="AB36" s="308"/>
      <c r="AC36" s="308"/>
      <c r="AD36" s="308"/>
      <c r="AE36" s="308"/>
      <c r="AF36" s="308">
        <f>F40*1.73*AH20</f>
        <v>1313.9240003519021</v>
      </c>
      <c r="AG36" s="308"/>
      <c r="AH36" s="308"/>
      <c r="AI36" s="315"/>
      <c r="AJ36" s="308"/>
      <c r="AK36" s="308"/>
      <c r="AL36" s="308"/>
      <c r="AM36" s="308">
        <f>AM35^0.2</f>
        <v>1.1486983549970351</v>
      </c>
      <c r="AN36" s="308"/>
      <c r="AO36" s="308"/>
      <c r="AP36" s="308"/>
      <c r="AQ36" s="308"/>
      <c r="AR36" s="308"/>
      <c r="AS36" s="308"/>
      <c r="AT36" s="27"/>
      <c r="AU36" s="27"/>
      <c r="AV36" s="27"/>
      <c r="AW36" s="80"/>
      <c r="AX36" s="80"/>
      <c r="AY36" s="80"/>
      <c r="AZ36" s="27"/>
      <c r="BA36" s="27"/>
      <c r="BB36" s="27"/>
      <c r="BC36" s="27"/>
      <c r="BD36" s="27"/>
    </row>
    <row r="37" spans="1:56" ht="15.75" thickBot="1" x14ac:dyDescent="0.25">
      <c r="A37" s="11" t="s">
        <v>216</v>
      </c>
      <c r="B37" s="11"/>
      <c r="C37" s="11"/>
      <c r="D37" s="9"/>
      <c r="E37" s="9"/>
      <c r="F37" s="12">
        <v>1</v>
      </c>
      <c r="G37" s="17"/>
      <c r="H37" s="18"/>
      <c r="I37" s="161">
        <v>4.3</v>
      </c>
      <c r="J37" s="178" t="s">
        <v>260</v>
      </c>
      <c r="K37" s="87" t="s">
        <v>85</v>
      </c>
      <c r="L37" s="87"/>
      <c r="M37" s="87"/>
      <c r="N37" s="87"/>
      <c r="O37" s="87"/>
      <c r="P37" s="87"/>
      <c r="Q37" s="87"/>
      <c r="R37" s="87"/>
      <c r="S37" s="112"/>
      <c r="T37" s="112"/>
      <c r="U37" s="214" t="s">
        <v>187</v>
      </c>
      <c r="V37" s="215"/>
      <c r="W37" s="215"/>
      <c r="X37" s="215"/>
      <c r="Y37" s="215"/>
      <c r="Z37" s="216"/>
      <c r="AB37" s="308"/>
      <c r="AC37" s="308"/>
      <c r="AD37" s="308"/>
      <c r="AE37" s="308"/>
      <c r="AF37" s="315"/>
      <c r="AG37" s="308"/>
      <c r="AH37" s="310"/>
      <c r="AI37" s="310"/>
      <c r="AJ37" s="308"/>
      <c r="AK37" s="308"/>
      <c r="AL37" s="308"/>
      <c r="AM37" s="308">
        <f>AN35*AM36</f>
        <v>7.5010002581306399</v>
      </c>
      <c r="AN37" s="308"/>
      <c r="AO37" s="308"/>
      <c r="AP37" s="307"/>
      <c r="AQ37" s="307"/>
      <c r="AR37" s="307"/>
      <c r="AS37" s="307"/>
      <c r="AT37" s="80"/>
      <c r="AU37" s="80"/>
      <c r="AV37" s="80"/>
      <c r="AW37" s="80"/>
      <c r="AX37" s="80"/>
      <c r="AY37" s="80"/>
      <c r="AZ37" s="27"/>
      <c r="BA37" s="27"/>
      <c r="BB37" s="27"/>
      <c r="BC37" s="27"/>
      <c r="BD37" s="27"/>
    </row>
    <row r="38" spans="1:56" ht="15" customHeight="1" x14ac:dyDescent="0.2">
      <c r="B38" s="165">
        <v>3</v>
      </c>
      <c r="D38" s="18"/>
      <c r="E38" s="18"/>
      <c r="F38" s="9"/>
      <c r="G38" s="9"/>
      <c r="H38" s="9"/>
      <c r="I38" s="9"/>
      <c r="J38" s="10"/>
      <c r="K38" s="85" t="s">
        <v>89</v>
      </c>
      <c r="L38" s="113"/>
      <c r="M38" s="113"/>
      <c r="N38" s="112"/>
      <c r="O38" s="112"/>
      <c r="P38" s="113"/>
      <c r="Q38" s="114"/>
      <c r="R38" s="114"/>
      <c r="S38" s="112"/>
      <c r="T38" s="112"/>
      <c r="U38" s="77"/>
      <c r="V38" s="18"/>
      <c r="W38" s="284">
        <f>AO11</f>
        <v>10.599117437722422</v>
      </c>
      <c r="X38" s="285"/>
      <c r="Y38" s="286"/>
      <c r="Z38" s="196" t="s">
        <v>185</v>
      </c>
      <c r="AB38" s="308"/>
      <c r="AC38" s="308"/>
      <c r="AD38" s="308"/>
      <c r="AE38" s="308"/>
      <c r="AF38" s="308"/>
      <c r="AG38" s="308"/>
      <c r="AH38" s="308"/>
      <c r="AI38" s="308"/>
      <c r="AJ38" s="308"/>
      <c r="AK38" s="308"/>
      <c r="AL38" s="308" t="s">
        <v>153</v>
      </c>
      <c r="AM38" s="308">
        <v>1.4</v>
      </c>
      <c r="AN38" s="308"/>
      <c r="AO38" s="308"/>
      <c r="AP38" s="307"/>
      <c r="AQ38" s="307"/>
      <c r="AR38" s="307"/>
      <c r="AS38" s="307"/>
      <c r="AT38" s="80"/>
      <c r="AU38" s="80"/>
      <c r="AV38" s="80"/>
      <c r="AW38" s="80"/>
      <c r="AX38" s="80"/>
      <c r="AY38" s="80"/>
      <c r="AZ38" s="27"/>
      <c r="BA38" s="27"/>
      <c r="BB38" s="27"/>
      <c r="BC38" s="27"/>
      <c r="BD38" s="27"/>
    </row>
    <row r="39" spans="1:56" ht="15" customHeight="1" x14ac:dyDescent="0.2">
      <c r="A39" s="30" t="s">
        <v>215</v>
      </c>
      <c r="B39" s="30"/>
      <c r="C39" s="30"/>
      <c r="D39" s="18"/>
      <c r="E39" s="36" t="s">
        <v>36</v>
      </c>
      <c r="F39" s="17"/>
      <c r="G39" s="17"/>
      <c r="H39" s="18"/>
      <c r="I39" s="18"/>
      <c r="J39" s="33"/>
      <c r="K39" s="85" t="s">
        <v>90</v>
      </c>
      <c r="L39" s="115"/>
      <c r="M39" s="115"/>
      <c r="N39" s="112"/>
      <c r="O39" s="112"/>
      <c r="P39" s="116"/>
      <c r="Q39" s="116"/>
      <c r="R39" s="116"/>
      <c r="S39" s="112"/>
      <c r="T39" s="112"/>
      <c r="U39" s="75" t="s">
        <v>255</v>
      </c>
      <c r="V39" s="66"/>
      <c r="W39" s="66"/>
      <c r="X39" s="66"/>
      <c r="Y39" s="18"/>
      <c r="Z39" s="33"/>
      <c r="AB39" s="308"/>
      <c r="AC39" s="308"/>
      <c r="AD39" s="308"/>
      <c r="AE39" s="308"/>
      <c r="AF39" s="308"/>
      <c r="AG39" s="308"/>
      <c r="AH39" s="315"/>
      <c r="AI39" s="311"/>
      <c r="AJ39" s="308"/>
      <c r="AK39" s="308"/>
      <c r="AL39" s="308">
        <f>AM38^0.36</f>
        <v>1.1287716489943875</v>
      </c>
      <c r="AM39" s="308"/>
      <c r="AN39" s="308"/>
      <c r="AO39" s="308"/>
      <c r="AP39" s="307"/>
      <c r="AQ39" s="307"/>
      <c r="AR39" s="307"/>
      <c r="AS39" s="307"/>
      <c r="AT39" s="80"/>
      <c r="AU39" s="80"/>
      <c r="AV39" s="80"/>
      <c r="AW39" s="80"/>
      <c r="AX39" s="80"/>
      <c r="AY39" s="80"/>
      <c r="AZ39" s="27"/>
      <c r="BA39" s="27"/>
      <c r="BB39" s="27"/>
      <c r="BC39" s="27"/>
      <c r="BD39" s="27"/>
    </row>
    <row r="40" spans="1:56" x14ac:dyDescent="0.2">
      <c r="B40" s="165">
        <v>2</v>
      </c>
      <c r="D40" s="18"/>
      <c r="E40" s="18"/>
      <c r="F40" s="12">
        <v>4.5</v>
      </c>
      <c r="G40" s="11" t="s">
        <v>66</v>
      </c>
      <c r="H40" s="9"/>
      <c r="I40" s="45">
        <v>4.5</v>
      </c>
      <c r="J40" s="5"/>
      <c r="K40" s="87" t="s">
        <v>91</v>
      </c>
      <c r="L40" s="112"/>
      <c r="M40" s="112"/>
      <c r="N40" s="112"/>
      <c r="O40" s="112"/>
      <c r="P40" s="112"/>
      <c r="Q40" s="112"/>
      <c r="R40" s="117"/>
      <c r="S40" s="117"/>
      <c r="T40" s="117"/>
      <c r="U40" s="78" t="s">
        <v>200</v>
      </c>
      <c r="V40" s="32"/>
      <c r="W40" s="32"/>
      <c r="X40" s="32"/>
      <c r="Y40" s="32"/>
      <c r="Z40" s="65"/>
      <c r="AA40" s="3"/>
      <c r="AB40" s="308"/>
      <c r="AC40" s="308"/>
      <c r="AD40" s="308"/>
      <c r="AE40" s="308"/>
      <c r="AF40" s="308" t="s">
        <v>155</v>
      </c>
      <c r="AG40" s="308"/>
      <c r="AH40" s="308"/>
      <c r="AI40" s="308"/>
      <c r="AJ40" s="308"/>
      <c r="AK40" s="310"/>
      <c r="AL40" s="310">
        <f>AM38*AL39</f>
        <v>1.5802803085921424</v>
      </c>
      <c r="AM40" s="308"/>
      <c r="AN40" s="308"/>
      <c r="AO40" s="308"/>
      <c r="AP40" s="307"/>
      <c r="AQ40" s="307"/>
      <c r="AR40" s="307"/>
      <c r="AS40" s="307"/>
      <c r="AT40" s="80"/>
      <c r="AU40" s="80"/>
      <c r="AV40" s="80"/>
      <c r="AW40" s="80"/>
      <c r="AX40" s="80"/>
      <c r="AY40" s="80"/>
      <c r="AZ40" s="27"/>
      <c r="BA40" s="27"/>
      <c r="BB40" s="27"/>
      <c r="BC40" s="27"/>
      <c r="BD40" s="27"/>
    </row>
    <row r="41" spans="1:56" ht="15" customHeight="1" x14ac:dyDescent="0.2">
      <c r="A41" s="226"/>
      <c r="B41" s="226"/>
      <c r="C41" s="226"/>
      <c r="D41" s="9"/>
      <c r="E41" s="9"/>
      <c r="F41" s="9"/>
      <c r="G41" s="18"/>
      <c r="H41" s="18"/>
      <c r="I41" s="18"/>
      <c r="J41" s="33"/>
      <c r="K41" s="119"/>
      <c r="L41" s="120"/>
      <c r="M41" s="121"/>
      <c r="N41" s="122"/>
      <c r="O41" s="122"/>
      <c r="P41" s="122"/>
      <c r="Q41" s="120"/>
      <c r="R41" s="120"/>
      <c r="S41" s="120"/>
      <c r="T41" s="120"/>
      <c r="U41" s="60" t="s">
        <v>186</v>
      </c>
      <c r="V41" s="61"/>
      <c r="W41" s="61"/>
      <c r="X41" s="61"/>
      <c r="Y41" s="61"/>
      <c r="Z41" s="79"/>
      <c r="AB41" s="308"/>
      <c r="AC41" s="308"/>
      <c r="AD41" s="308"/>
      <c r="AE41" s="308"/>
      <c r="AF41" s="308">
        <f>G43*I43</f>
        <v>1.02</v>
      </c>
      <c r="AG41" s="308"/>
      <c r="AH41" s="308"/>
      <c r="AI41" s="308"/>
      <c r="AJ41" s="308"/>
      <c r="AK41" s="308"/>
      <c r="AL41" s="315">
        <f>AM37-AL40*LOG(C11)</f>
        <v>6.3964317239818644</v>
      </c>
      <c r="AM41" s="308"/>
      <c r="AN41" s="308"/>
      <c r="AO41" s="308"/>
      <c r="AP41" s="307"/>
      <c r="AQ41" s="307"/>
      <c r="AR41" s="307"/>
      <c r="AS41" s="307"/>
      <c r="AT41" s="80"/>
      <c r="AU41" s="80"/>
      <c r="AV41" s="80"/>
      <c r="AW41" s="80"/>
      <c r="AX41" s="80"/>
      <c r="AY41" s="80"/>
      <c r="AZ41" s="27"/>
      <c r="BA41" s="27"/>
      <c r="BB41" s="27"/>
      <c r="BC41" s="27"/>
      <c r="BD41" s="27"/>
    </row>
    <row r="42" spans="1:56" ht="15" customHeight="1" x14ac:dyDescent="0.2">
      <c r="B42" s="39"/>
      <c r="D42" s="9"/>
      <c r="E42" s="9"/>
      <c r="F42" s="9"/>
      <c r="G42" s="37" t="s">
        <v>37</v>
      </c>
      <c r="H42" s="17"/>
      <c r="I42" s="17"/>
      <c r="J42" s="33"/>
      <c r="K42" s="9"/>
      <c r="L42" s="9"/>
      <c r="M42" s="123"/>
      <c r="N42" s="123"/>
      <c r="O42" s="124" t="s">
        <v>234</v>
      </c>
      <c r="P42" s="123"/>
      <c r="Q42" s="123"/>
      <c r="R42" s="9"/>
      <c r="S42" s="39"/>
      <c r="T42" s="10"/>
      <c r="U42" s="17"/>
      <c r="V42" s="17"/>
      <c r="W42" s="17"/>
      <c r="X42" s="17"/>
      <c r="Y42" s="17"/>
      <c r="Z42" s="17"/>
      <c r="AB42" s="308"/>
      <c r="AC42" s="308"/>
      <c r="AD42" s="308"/>
      <c r="AE42" s="308"/>
      <c r="AF42" s="308">
        <f>G45*I45</f>
        <v>0.51</v>
      </c>
      <c r="AG42" s="308"/>
      <c r="AH42" s="308"/>
      <c r="AI42" s="308"/>
      <c r="AJ42" s="316"/>
      <c r="AK42" s="311"/>
      <c r="AL42" s="310"/>
      <c r="AM42" s="308"/>
      <c r="AN42" s="308"/>
      <c r="AO42" s="308"/>
      <c r="AP42" s="307"/>
      <c r="AQ42" s="307"/>
      <c r="AR42" s="307"/>
      <c r="AS42" s="307"/>
      <c r="AT42" s="80"/>
      <c r="AU42" s="80"/>
      <c r="AV42" s="80"/>
      <c r="AW42" s="80"/>
      <c r="AX42" s="80"/>
      <c r="AY42" s="80"/>
      <c r="AZ42" s="27"/>
      <c r="BA42" s="27"/>
      <c r="BB42" s="27"/>
      <c r="BC42" s="27"/>
      <c r="BD42" s="27"/>
    </row>
    <row r="43" spans="1:56" x14ac:dyDescent="0.2">
      <c r="A43" s="11" t="s">
        <v>217</v>
      </c>
      <c r="B43" s="11"/>
      <c r="C43" s="11"/>
      <c r="D43" s="9"/>
      <c r="E43" s="9"/>
      <c r="F43" s="9"/>
      <c r="G43" s="12">
        <v>2</v>
      </c>
      <c r="H43" s="18"/>
      <c r="I43" s="162">
        <v>0.51</v>
      </c>
      <c r="J43" s="33"/>
      <c r="K43" s="7"/>
      <c r="L43" s="11"/>
      <c r="M43" s="11"/>
      <c r="N43" s="11"/>
      <c r="O43" s="7"/>
      <c r="P43" s="7"/>
      <c r="Q43" s="7"/>
      <c r="R43" s="125"/>
      <c r="S43" s="125"/>
      <c r="T43" s="126"/>
      <c r="U43" s="17"/>
      <c r="V43" s="17"/>
      <c r="W43" s="17"/>
      <c r="X43" s="17"/>
      <c r="Y43" s="17"/>
      <c r="Z43" s="17"/>
      <c r="AB43" s="308"/>
      <c r="AC43" s="308"/>
      <c r="AD43" s="308"/>
      <c r="AE43" s="308"/>
      <c r="AF43" s="308">
        <f>AF41+AF42</f>
        <v>1.53</v>
      </c>
      <c r="AG43" s="308"/>
      <c r="AH43" s="308"/>
      <c r="AI43" s="308"/>
      <c r="AJ43" s="308"/>
      <c r="AK43" s="310"/>
      <c r="AL43" s="308"/>
      <c r="AM43" s="308" t="s">
        <v>162</v>
      </c>
      <c r="AN43" s="308"/>
      <c r="AO43" s="308">
        <f>J11/2</f>
        <v>1</v>
      </c>
      <c r="AP43" s="307"/>
      <c r="AQ43" s="307"/>
      <c r="AR43" s="307"/>
      <c r="AS43" s="307"/>
      <c r="AT43" s="80"/>
      <c r="AU43" s="80"/>
      <c r="AV43" s="80"/>
      <c r="AW43" s="80"/>
      <c r="AX43" s="80"/>
      <c r="AY43" s="80"/>
      <c r="AZ43" s="27"/>
      <c r="BA43" s="27"/>
      <c r="BB43" s="27"/>
      <c r="BC43" s="27"/>
      <c r="BD43" s="27"/>
    </row>
    <row r="44" spans="1:56" x14ac:dyDescent="0.2">
      <c r="A44" s="9"/>
      <c r="B44" s="40">
        <f>AQ25</f>
        <v>1.2281805768109104</v>
      </c>
      <c r="C44" s="9"/>
      <c r="D44" s="9"/>
      <c r="E44" s="9"/>
      <c r="F44" s="9"/>
      <c r="G44" s="17"/>
      <c r="H44" s="164" t="s">
        <v>64</v>
      </c>
      <c r="I44" s="17"/>
      <c r="J44" s="33"/>
      <c r="K44" s="9"/>
      <c r="L44" s="127"/>
      <c r="M44" s="127"/>
      <c r="N44" s="127"/>
      <c r="O44" s="127"/>
      <c r="P44" s="7"/>
      <c r="Q44" s="7"/>
      <c r="R44" s="125"/>
      <c r="S44" s="128"/>
      <c r="T44" s="129"/>
      <c r="U44" s="17"/>
      <c r="V44" s="17"/>
      <c r="W44" s="17"/>
      <c r="X44" s="17"/>
      <c r="Y44" s="17"/>
      <c r="Z44" s="17"/>
      <c r="AB44" s="308"/>
      <c r="AC44" s="308"/>
      <c r="AD44" s="308"/>
      <c r="AE44" s="308"/>
      <c r="AF44" s="308"/>
      <c r="AG44" s="308"/>
      <c r="AH44" s="308"/>
      <c r="AI44" s="308" t="s">
        <v>161</v>
      </c>
      <c r="AJ44" s="308"/>
      <c r="AK44" s="308"/>
      <c r="AL44" s="308"/>
      <c r="AM44" s="308"/>
      <c r="AN44" s="308"/>
      <c r="AO44" s="308"/>
      <c r="AP44" s="307"/>
      <c r="AQ44" s="307"/>
      <c r="AR44" s="307"/>
      <c r="AS44" s="307"/>
      <c r="AT44" s="80"/>
      <c r="AU44" s="80"/>
      <c r="AV44" s="80"/>
      <c r="AW44" s="80"/>
      <c r="AX44" s="80"/>
      <c r="AY44" s="80"/>
      <c r="AZ44" s="27"/>
      <c r="BA44" s="27"/>
      <c r="BB44" s="27"/>
      <c r="BC44" s="27"/>
      <c r="BD44" s="27"/>
    </row>
    <row r="45" spans="1:56" x14ac:dyDescent="0.2">
      <c r="A45" s="271" t="s">
        <v>35</v>
      </c>
      <c r="B45" s="271"/>
      <c r="C45" s="271"/>
      <c r="D45" s="9"/>
      <c r="E45" s="9"/>
      <c r="F45" s="9"/>
      <c r="G45" s="12">
        <v>1</v>
      </c>
      <c r="I45" s="163">
        <v>0.51</v>
      </c>
      <c r="J45" s="33"/>
      <c r="K45" s="7"/>
      <c r="L45" s="25"/>
      <c r="M45" s="25"/>
      <c r="N45" s="25"/>
      <c r="O45" s="11"/>
      <c r="P45" s="7"/>
      <c r="Q45" s="7"/>
      <c r="R45" s="125"/>
      <c r="S45" s="130"/>
      <c r="T45" s="131"/>
      <c r="AB45" s="308"/>
      <c r="AC45" s="308"/>
      <c r="AD45" s="308"/>
      <c r="AE45" s="308" t="s">
        <v>170</v>
      </c>
      <c r="AF45" s="308" t="s">
        <v>164</v>
      </c>
      <c r="AG45" s="308">
        <f>I16</f>
        <v>36</v>
      </c>
      <c r="AH45" s="308"/>
      <c r="AI45" s="308" t="s">
        <v>176</v>
      </c>
      <c r="AJ45" s="308"/>
      <c r="AK45" s="310"/>
      <c r="AL45" s="310"/>
      <c r="AM45" s="316"/>
      <c r="AN45" s="308"/>
      <c r="AO45" s="308"/>
      <c r="AP45" s="307"/>
      <c r="AQ45" s="307"/>
      <c r="AR45" s="307"/>
      <c r="AS45" s="307"/>
      <c r="AT45" s="80"/>
      <c r="AU45" s="80"/>
      <c r="AV45" s="80"/>
      <c r="AW45" s="80"/>
      <c r="AX45" s="80"/>
      <c r="AY45" s="80"/>
      <c r="AZ45" s="27"/>
      <c r="BA45" s="27"/>
      <c r="BB45" s="27"/>
      <c r="BC45" s="27"/>
      <c r="BD45" s="27"/>
    </row>
    <row r="46" spans="1:56" x14ac:dyDescent="0.2">
      <c r="A46" s="9"/>
      <c r="B46" s="41">
        <f>AU26</f>
        <v>4.6476524257473972</v>
      </c>
      <c r="D46" s="9"/>
      <c r="E46" s="9"/>
      <c r="F46" s="9"/>
      <c r="G46" s="185" t="s">
        <v>38</v>
      </c>
      <c r="H46" s="185"/>
      <c r="I46" s="152">
        <f>AF43</f>
        <v>1.53</v>
      </c>
      <c r="J46" s="10"/>
      <c r="K46" s="7"/>
      <c r="L46" s="25"/>
      <c r="M46" s="25"/>
      <c r="N46" s="25"/>
      <c r="O46" s="11"/>
      <c r="P46" s="7"/>
      <c r="Q46" s="7"/>
      <c r="R46" s="125"/>
      <c r="S46" s="130"/>
      <c r="T46" s="131"/>
      <c r="AB46" s="308"/>
      <c r="AC46" s="315"/>
      <c r="AD46" s="308"/>
      <c r="AE46" s="308" t="s">
        <v>171</v>
      </c>
      <c r="AF46" s="308" t="s">
        <v>165</v>
      </c>
      <c r="AG46" s="308">
        <f>AG47/2</f>
        <v>1</v>
      </c>
      <c r="AH46" s="308"/>
      <c r="AI46" s="308">
        <f>2*AG46*AG48</f>
        <v>6</v>
      </c>
      <c r="AJ46" s="308" t="s">
        <v>160</v>
      </c>
      <c r="AK46" s="308"/>
      <c r="AL46" s="308"/>
      <c r="AM46" s="308"/>
      <c r="AN46" s="308"/>
      <c r="AO46" s="308"/>
      <c r="AP46" s="307"/>
      <c r="AQ46" s="307"/>
      <c r="AR46" s="307"/>
      <c r="AS46" s="307"/>
      <c r="AT46" s="80"/>
      <c r="AU46" s="80"/>
      <c r="AV46" s="80"/>
      <c r="AW46" s="80"/>
      <c r="AX46" s="80"/>
      <c r="AY46" s="80"/>
      <c r="AZ46" s="27"/>
      <c r="BA46" s="27"/>
      <c r="BB46" s="27"/>
      <c r="BC46" s="27"/>
      <c r="BD46" s="27"/>
    </row>
    <row r="47" spans="1:56" x14ac:dyDescent="0.2">
      <c r="A47" s="9"/>
      <c r="B47" s="9"/>
      <c r="C47" s="9"/>
      <c r="D47" s="9"/>
      <c r="E47" s="9"/>
      <c r="F47" s="9"/>
      <c r="G47" s="185" t="s">
        <v>39</v>
      </c>
      <c r="H47" s="185"/>
      <c r="I47" s="153">
        <f>H13/I46</f>
        <v>4.5098039215686274</v>
      </c>
      <c r="J47" s="10"/>
      <c r="K47" s="11"/>
      <c r="L47" s="25"/>
      <c r="M47" s="25"/>
      <c r="N47" s="132"/>
      <c r="O47" s="133"/>
      <c r="P47" s="133"/>
      <c r="Q47" s="133"/>
      <c r="R47" s="9"/>
      <c r="S47" s="9"/>
      <c r="T47" s="10"/>
      <c r="AB47" s="308"/>
      <c r="AC47" s="312"/>
      <c r="AD47" s="308"/>
      <c r="AE47" s="308" t="s">
        <v>172</v>
      </c>
      <c r="AF47" s="308" t="s">
        <v>166</v>
      </c>
      <c r="AG47" s="308">
        <f>J11</f>
        <v>2</v>
      </c>
      <c r="AH47" s="308"/>
      <c r="AI47" s="308">
        <f>AG45/AI46</f>
        <v>6</v>
      </c>
      <c r="AJ47" s="308" t="s">
        <v>160</v>
      </c>
      <c r="AK47" s="308"/>
      <c r="AL47" s="308"/>
      <c r="AM47" s="308"/>
      <c r="AN47" s="308"/>
      <c r="AO47" s="308"/>
      <c r="AP47" s="307"/>
      <c r="AQ47" s="307"/>
      <c r="AR47" s="307"/>
      <c r="AS47" s="307"/>
      <c r="AT47" s="80"/>
      <c r="AU47" s="80"/>
      <c r="AV47" s="80"/>
      <c r="AW47" s="80"/>
      <c r="AX47" s="80"/>
      <c r="AY47" s="80"/>
      <c r="AZ47" s="27"/>
      <c r="BA47" s="27"/>
      <c r="BB47" s="27"/>
      <c r="BC47" s="27"/>
      <c r="BD47" s="27"/>
    </row>
    <row r="48" spans="1:56" x14ac:dyDescent="0.2">
      <c r="A48" s="42"/>
      <c r="B48" s="42"/>
      <c r="C48" s="43"/>
      <c r="D48" s="42"/>
      <c r="E48" s="42"/>
      <c r="F48" s="42"/>
      <c r="G48" s="9"/>
      <c r="H48" s="9"/>
      <c r="I48" s="9"/>
      <c r="J48" s="10"/>
      <c r="K48" s="9"/>
      <c r="L48" s="25"/>
      <c r="M48" s="25"/>
      <c r="N48" s="25"/>
      <c r="O48" s="9"/>
      <c r="P48" s="9"/>
      <c r="Q48" s="9"/>
      <c r="R48" s="9"/>
      <c r="S48" s="39"/>
      <c r="T48" s="10"/>
      <c r="AB48" s="308"/>
      <c r="AC48" s="308"/>
      <c r="AD48" s="308"/>
      <c r="AE48" s="308" t="s">
        <v>173</v>
      </c>
      <c r="AF48" s="308" t="s">
        <v>167</v>
      </c>
      <c r="AG48" s="308">
        <v>3</v>
      </c>
      <c r="AH48" s="308"/>
      <c r="AI48" s="308" t="s">
        <v>177</v>
      </c>
      <c r="AJ48" s="308"/>
      <c r="AK48" s="308"/>
      <c r="AL48" s="308"/>
      <c r="AM48" s="308"/>
      <c r="AN48" s="308"/>
      <c r="AO48" s="308"/>
      <c r="AP48" s="307"/>
      <c r="AQ48" s="307"/>
      <c r="AR48" s="307"/>
      <c r="AS48" s="307"/>
      <c r="AT48" s="80"/>
      <c r="AU48" s="80"/>
      <c r="AV48" s="80"/>
      <c r="AW48" s="80"/>
      <c r="AX48" s="80"/>
      <c r="AY48" s="80"/>
      <c r="AZ48" s="27"/>
      <c r="BA48" s="27"/>
      <c r="BB48" s="27"/>
      <c r="BC48" s="27"/>
      <c r="BD48" s="27"/>
    </row>
    <row r="49" spans="1:56" ht="15" customHeight="1" x14ac:dyDescent="0.2">
      <c r="A49" s="11" t="s">
        <v>154</v>
      </c>
      <c r="B49" s="11"/>
      <c r="C49" s="11"/>
      <c r="D49" s="9"/>
      <c r="E49" s="9"/>
      <c r="F49" s="9"/>
      <c r="G49" s="11" t="s">
        <v>228</v>
      </c>
      <c r="J49" s="10"/>
      <c r="K49" s="9"/>
      <c r="L49" s="25"/>
      <c r="M49" s="25"/>
      <c r="N49" s="9"/>
      <c r="O49" s="9"/>
      <c r="P49" s="39"/>
      <c r="Q49" s="9"/>
      <c r="R49" s="9"/>
      <c r="S49" s="39"/>
      <c r="T49" s="10"/>
      <c r="AB49" s="308"/>
      <c r="AC49" s="308"/>
      <c r="AD49" s="308"/>
      <c r="AE49" s="308" t="s">
        <v>174</v>
      </c>
      <c r="AF49" s="308" t="s">
        <v>168</v>
      </c>
      <c r="AG49" s="308">
        <f>H52</f>
        <v>18</v>
      </c>
      <c r="AH49" s="308"/>
      <c r="AI49" s="308">
        <f>6.28/AG45</f>
        <v>0.17444444444444446</v>
      </c>
      <c r="AJ49" s="308" t="s">
        <v>160</v>
      </c>
      <c r="AK49" s="308"/>
      <c r="AL49" s="315"/>
      <c r="AM49" s="308"/>
      <c r="AN49" s="308"/>
      <c r="AO49" s="308"/>
      <c r="AP49" s="307"/>
      <c r="AQ49" s="307"/>
      <c r="AR49" s="307"/>
      <c r="AS49" s="307"/>
      <c r="AT49" s="80"/>
      <c r="AU49" s="80"/>
      <c r="AV49" s="80"/>
      <c r="AW49" s="80"/>
      <c r="AX49" s="80"/>
      <c r="AY49" s="80"/>
      <c r="AZ49" s="27"/>
      <c r="BA49" s="27"/>
      <c r="BB49" s="27"/>
      <c r="BC49" s="27"/>
      <c r="BD49" s="27"/>
    </row>
    <row r="50" spans="1:56" ht="15" customHeight="1" x14ac:dyDescent="0.2">
      <c r="A50" s="11" t="s">
        <v>65</v>
      </c>
      <c r="B50" s="44">
        <f>H54/F34</f>
        <v>1.5414258188824661</v>
      </c>
      <c r="C50" s="9"/>
      <c r="D50" s="9"/>
      <c r="E50" s="9"/>
      <c r="F50" s="9"/>
      <c r="H50" s="154">
        <f>AH21</f>
        <v>28.129394141552172</v>
      </c>
      <c r="I50" s="9"/>
      <c r="J50" s="10"/>
      <c r="K50" s="9"/>
      <c r="L50" s="25"/>
      <c r="M50" s="9"/>
      <c r="N50" s="9"/>
      <c r="O50" s="9"/>
      <c r="P50" s="9"/>
      <c r="Q50" s="9"/>
      <c r="R50" s="9"/>
      <c r="S50" s="9"/>
      <c r="T50" s="10"/>
      <c r="AB50" s="308"/>
      <c r="AC50" s="308"/>
      <c r="AD50" s="308"/>
      <c r="AE50" s="308" t="s">
        <v>175</v>
      </c>
      <c r="AF50" s="314" t="s">
        <v>169</v>
      </c>
      <c r="AG50" s="308">
        <f>I16/J11</f>
        <v>18</v>
      </c>
      <c r="AH50" s="308"/>
      <c r="AI50" s="308" t="s">
        <v>178</v>
      </c>
      <c r="AJ50" s="308"/>
      <c r="AK50" s="308"/>
      <c r="AL50" s="308"/>
      <c r="AM50" s="308"/>
      <c r="AN50" s="308"/>
      <c r="AO50" s="308"/>
      <c r="AP50" s="307"/>
      <c r="AQ50" s="307"/>
      <c r="AR50" s="307"/>
      <c r="AS50" s="307"/>
      <c r="AT50" s="80"/>
      <c r="AU50" s="80"/>
      <c r="AV50" s="80"/>
      <c r="AW50" s="80"/>
      <c r="AX50" s="80"/>
      <c r="AY50" s="80"/>
      <c r="AZ50" s="27"/>
      <c r="BA50" s="27"/>
      <c r="BB50" s="27"/>
      <c r="BC50" s="27"/>
      <c r="BD50" s="27"/>
    </row>
    <row r="51" spans="1:56" x14ac:dyDescent="0.2">
      <c r="A51" s="144" t="s">
        <v>41</v>
      </c>
      <c r="B51" s="155">
        <f>AH21*F37</f>
        <v>28.129394141552172</v>
      </c>
      <c r="C51" s="155">
        <f>B51</f>
        <v>28.129394141552172</v>
      </c>
      <c r="D51" s="155">
        <f>C51</f>
        <v>28.129394141552172</v>
      </c>
      <c r="E51" s="155">
        <f>D51</f>
        <v>28.129394141552172</v>
      </c>
      <c r="F51" s="155">
        <f>E51</f>
        <v>28.129394141552172</v>
      </c>
      <c r="G51" s="256" t="s">
        <v>62</v>
      </c>
      <c r="H51" s="226"/>
      <c r="I51" s="226"/>
      <c r="J51" s="10"/>
      <c r="K51" s="39"/>
      <c r="L51" s="25"/>
      <c r="M51" s="134"/>
      <c r="N51" s="9"/>
      <c r="O51" s="9"/>
      <c r="P51" s="9"/>
      <c r="Q51" s="9"/>
      <c r="R51" s="9"/>
      <c r="S51" s="9"/>
      <c r="T51" s="10"/>
      <c r="AB51" s="308"/>
      <c r="AC51" s="308"/>
      <c r="AD51" s="308"/>
      <c r="AE51" s="308"/>
      <c r="AF51" s="308"/>
      <c r="AG51" s="308"/>
      <c r="AH51" s="308"/>
      <c r="AI51" s="308">
        <f>3.14*AG49</f>
        <v>56.52</v>
      </c>
      <c r="AJ51" s="308"/>
      <c r="AK51" s="308"/>
      <c r="AL51" s="308"/>
      <c r="AM51" s="308"/>
      <c r="AN51" s="308"/>
      <c r="AO51" s="308"/>
      <c r="AP51" s="307"/>
      <c r="AQ51" s="307"/>
      <c r="AR51" s="307"/>
      <c r="AS51" s="307"/>
      <c r="AT51" s="80"/>
      <c r="AU51" s="80"/>
      <c r="AV51" s="80"/>
      <c r="AW51" s="80"/>
      <c r="AX51" s="80"/>
      <c r="AY51" s="80"/>
      <c r="AZ51" s="27"/>
      <c r="BA51" s="27"/>
      <c r="BB51" s="27"/>
      <c r="BC51" s="27"/>
      <c r="BD51" s="27"/>
    </row>
    <row r="52" spans="1:56" x14ac:dyDescent="0.2">
      <c r="A52" s="144" t="s">
        <v>42</v>
      </c>
      <c r="B52" s="167">
        <v>8</v>
      </c>
      <c r="C52" s="167">
        <v>10</v>
      </c>
      <c r="D52" s="12">
        <v>12</v>
      </c>
      <c r="E52" s="12">
        <v>14</v>
      </c>
      <c r="F52" s="12"/>
      <c r="H52" s="12">
        <v>18</v>
      </c>
      <c r="I52" s="9"/>
      <c r="J52" s="33"/>
      <c r="K52" s="9"/>
      <c r="L52" s="25"/>
      <c r="M52" s="9"/>
      <c r="N52" s="9"/>
      <c r="O52" s="9"/>
      <c r="P52" s="39"/>
      <c r="Q52" s="9"/>
      <c r="R52" s="9"/>
      <c r="S52" s="9"/>
      <c r="T52" s="10"/>
      <c r="AB52" s="308"/>
      <c r="AC52" s="308"/>
      <c r="AD52" s="308"/>
      <c r="AE52" s="308"/>
      <c r="AF52" s="308"/>
      <c r="AG52" s="308"/>
      <c r="AH52" s="308"/>
      <c r="AI52" s="308">
        <f>AI51/AG50</f>
        <v>3.14</v>
      </c>
      <c r="AJ52" s="308" t="s">
        <v>160</v>
      </c>
      <c r="AK52" s="308"/>
      <c r="AL52" s="308"/>
      <c r="AM52" s="308"/>
      <c r="AN52" s="308"/>
      <c r="AO52" s="308"/>
      <c r="AP52" s="307"/>
      <c r="AQ52" s="307"/>
      <c r="AR52" s="307"/>
      <c r="AS52" s="307"/>
      <c r="AT52" s="80"/>
      <c r="AU52" s="80"/>
      <c r="AV52" s="80"/>
      <c r="AW52" s="80"/>
      <c r="AX52" s="80"/>
      <c r="AY52" s="80"/>
      <c r="AZ52" s="27"/>
      <c r="BA52" s="27"/>
      <c r="BB52" s="27"/>
      <c r="BC52" s="27"/>
      <c r="BD52" s="27"/>
    </row>
    <row r="53" spans="1:56" x14ac:dyDescent="0.2">
      <c r="A53" s="144" t="s">
        <v>43</v>
      </c>
      <c r="B53" s="257">
        <v>1</v>
      </c>
      <c r="C53" s="258"/>
      <c r="D53" s="171" t="s">
        <v>156</v>
      </c>
      <c r="E53" s="171"/>
      <c r="F53" s="9"/>
      <c r="G53" s="11" t="s">
        <v>229</v>
      </c>
      <c r="H53" s="11"/>
      <c r="I53" s="11"/>
      <c r="J53" s="10"/>
      <c r="K53" s="9"/>
      <c r="L53" s="25"/>
      <c r="M53" s="9"/>
      <c r="N53" s="9"/>
      <c r="O53" s="9"/>
      <c r="P53" s="9"/>
      <c r="Q53" s="9"/>
      <c r="R53" s="9"/>
      <c r="S53" s="9"/>
      <c r="T53" s="10"/>
      <c r="AB53" s="308"/>
      <c r="AC53" s="308"/>
      <c r="AD53" s="308">
        <v>5</v>
      </c>
      <c r="AE53" s="308" t="s">
        <v>212</v>
      </c>
      <c r="AF53" s="308"/>
      <c r="AG53" s="308" t="s">
        <v>207</v>
      </c>
      <c r="AH53" s="308"/>
      <c r="AI53" s="308" t="s">
        <v>213</v>
      </c>
      <c r="AJ53" s="308"/>
      <c r="AK53" s="308"/>
      <c r="AL53" s="308"/>
      <c r="AM53" s="308"/>
      <c r="AN53" s="308"/>
      <c r="AO53" s="308"/>
      <c r="AP53" s="307"/>
      <c r="AQ53" s="307"/>
      <c r="AR53" s="307"/>
      <c r="AS53" s="307"/>
      <c r="AT53" s="80"/>
      <c r="AU53" s="80"/>
      <c r="AV53" s="80"/>
      <c r="AW53" s="80"/>
      <c r="AX53" s="80"/>
      <c r="AY53" s="80"/>
      <c r="AZ53" s="27"/>
      <c r="BA53" s="27"/>
      <c r="BB53" s="27"/>
      <c r="BC53" s="27"/>
      <c r="BD53" s="27"/>
    </row>
    <row r="54" spans="1:56" x14ac:dyDescent="0.2">
      <c r="A54" s="144" t="s">
        <v>44</v>
      </c>
      <c r="B54" s="244" t="s">
        <v>150</v>
      </c>
      <c r="C54" s="245"/>
      <c r="D54" s="9"/>
      <c r="E54" s="9"/>
      <c r="F54" s="9"/>
      <c r="G54" s="9"/>
      <c r="H54" s="81">
        <f>AG35</f>
        <v>1.5414258188824661</v>
      </c>
      <c r="I54" s="9"/>
      <c r="J54" s="10"/>
      <c r="K54" s="9"/>
      <c r="L54" s="25"/>
      <c r="M54" s="9"/>
      <c r="N54" s="9"/>
      <c r="O54" s="9"/>
      <c r="P54" s="9"/>
      <c r="Q54" s="9"/>
      <c r="R54" s="9"/>
      <c r="S54" s="9"/>
      <c r="T54" s="10"/>
      <c r="AB54" s="308"/>
      <c r="AC54" s="308"/>
      <c r="AD54" s="308"/>
      <c r="AE54" s="308">
        <f>H52/(AG45/AG47)</f>
        <v>1</v>
      </c>
      <c r="AF54" s="308"/>
      <c r="AG54" s="308">
        <f>5*AE55/2</f>
        <v>450</v>
      </c>
      <c r="AH54" s="308">
        <f>3.14/180</f>
        <v>1.7444444444444446E-2</v>
      </c>
      <c r="AI54" s="308">
        <f>6.28/AG45</f>
        <v>0.17444444444444446</v>
      </c>
      <c r="AJ54" s="308" t="s">
        <v>160</v>
      </c>
      <c r="AK54" s="308"/>
      <c r="AL54" s="308"/>
      <c r="AM54" s="308"/>
      <c r="AN54" s="308" t="s">
        <v>211</v>
      </c>
      <c r="AO54" s="308"/>
      <c r="AP54" s="307"/>
      <c r="AQ54" s="307"/>
      <c r="AR54" s="307"/>
      <c r="AS54" s="307"/>
      <c r="AT54" s="80"/>
      <c r="AU54" s="80"/>
      <c r="AV54" s="80"/>
      <c r="AW54" s="80"/>
      <c r="AX54" s="80"/>
      <c r="AY54" s="80"/>
      <c r="AZ54" s="27"/>
      <c r="BA54" s="27"/>
      <c r="BB54" s="27"/>
      <c r="BC54" s="27"/>
      <c r="BD54" s="27"/>
    </row>
    <row r="55" spans="1:56" ht="15.75" thickBot="1" x14ac:dyDescent="0.25">
      <c r="A55" s="46"/>
      <c r="B55" s="246"/>
      <c r="C55" s="246"/>
      <c r="D55" s="9"/>
      <c r="E55" s="9"/>
      <c r="F55" s="9"/>
      <c r="G55" s="9"/>
      <c r="H55" s="118"/>
      <c r="I55" s="118"/>
      <c r="J55" s="142"/>
      <c r="K55" s="9"/>
      <c r="L55" s="39"/>
      <c r="M55" s="9"/>
      <c r="N55" s="9"/>
      <c r="O55" s="9"/>
      <c r="P55" s="39"/>
      <c r="Q55" s="9"/>
      <c r="R55" s="9"/>
      <c r="S55" s="135"/>
      <c r="T55" s="10"/>
      <c r="AB55" s="308"/>
      <c r="AC55" s="308"/>
      <c r="AD55" s="308"/>
      <c r="AE55" s="308">
        <f>AE54*180</f>
        <v>180</v>
      </c>
      <c r="AF55" s="308"/>
      <c r="AG55" s="308">
        <f>AG54*AH54</f>
        <v>7.8500000000000005</v>
      </c>
      <c r="AH55" s="308">
        <f>COS(AG55)</f>
        <v>3.981623454078851E-3</v>
      </c>
      <c r="AI55" s="308" t="s">
        <v>160</v>
      </c>
      <c r="AJ55" s="308"/>
      <c r="AK55" s="308"/>
      <c r="AL55" s="315"/>
      <c r="AM55" s="308"/>
      <c r="AN55" s="308"/>
      <c r="AO55" s="308"/>
      <c r="AP55" s="307"/>
      <c r="AQ55" s="307"/>
      <c r="AR55" s="307"/>
      <c r="AS55" s="307"/>
      <c r="AT55" s="80"/>
      <c r="AU55" s="80"/>
      <c r="AV55" s="80"/>
      <c r="AW55" s="80"/>
      <c r="AX55" s="80"/>
      <c r="AY55" s="80"/>
      <c r="AZ55" s="27"/>
      <c r="BA55" s="27"/>
      <c r="BB55" s="27"/>
      <c r="BC55" s="27"/>
      <c r="BD55" s="27"/>
    </row>
    <row r="56" spans="1:56" ht="15.75" thickBot="1" x14ac:dyDescent="0.25">
      <c r="A56" s="13"/>
      <c r="B56" s="13"/>
      <c r="C56" s="13"/>
      <c r="D56" s="208" t="s">
        <v>236</v>
      </c>
      <c r="E56" s="209"/>
      <c r="F56" s="209"/>
      <c r="G56" s="210"/>
      <c r="H56" s="13"/>
      <c r="I56" s="13"/>
      <c r="J56" s="13"/>
      <c r="K56" s="9"/>
      <c r="L56" s="25"/>
      <c r="M56" s="9"/>
      <c r="N56" s="9"/>
      <c r="O56" s="9"/>
      <c r="P56" s="9"/>
      <c r="Q56" s="9"/>
      <c r="R56" s="9"/>
      <c r="S56" s="9"/>
      <c r="T56" s="10"/>
      <c r="AB56" s="308"/>
      <c r="AC56" s="308"/>
      <c r="AD56" s="308"/>
      <c r="AE56" s="308" t="s">
        <v>208</v>
      </c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7"/>
      <c r="AQ56" s="307"/>
      <c r="AR56" s="307"/>
      <c r="AS56" s="307"/>
      <c r="AT56" s="80"/>
      <c r="AU56" s="80"/>
      <c r="AV56" s="80"/>
      <c r="AW56" s="80"/>
      <c r="AX56" s="80"/>
      <c r="AY56" s="80"/>
      <c r="AZ56" s="27"/>
      <c r="BA56" s="27"/>
      <c r="BB56" s="27"/>
      <c r="BC56" s="27"/>
      <c r="BD56" s="27"/>
    </row>
    <row r="57" spans="1:56" ht="15.75" thickBot="1" x14ac:dyDescent="0.25">
      <c r="A57" s="211" t="s">
        <v>235</v>
      </c>
      <c r="B57" s="212"/>
      <c r="C57" s="213"/>
      <c r="D57" s="30"/>
      <c r="E57" s="18"/>
      <c r="F57" s="18"/>
      <c r="G57" s="47"/>
      <c r="H57" s="183" t="s">
        <v>266</v>
      </c>
      <c r="I57" s="30"/>
      <c r="J57" s="30"/>
      <c r="K57" s="9"/>
      <c r="L57" s="39"/>
      <c r="M57" s="9"/>
      <c r="N57" s="9"/>
      <c r="O57" s="9"/>
      <c r="P57" s="9"/>
      <c r="Q57" s="9"/>
      <c r="R57" s="9"/>
      <c r="S57" s="9"/>
      <c r="T57" s="10"/>
      <c r="U57" s="17"/>
      <c r="AB57" s="308"/>
      <c r="AC57" s="308"/>
      <c r="AD57" s="308"/>
      <c r="AE57" s="308">
        <f>5*AG48*AI54/2</f>
        <v>1.3083333333333333</v>
      </c>
      <c r="AF57" s="308">
        <f>RADIANS(AE57)</f>
        <v>2.2834724380259144E-2</v>
      </c>
      <c r="AG57" s="312" t="s">
        <v>160</v>
      </c>
      <c r="AH57" s="308">
        <f>AF57/AG58</f>
        <v>1</v>
      </c>
      <c r="AI57" s="308"/>
      <c r="AJ57" s="308"/>
      <c r="AK57" s="308"/>
      <c r="AL57" s="308"/>
      <c r="AM57" s="308"/>
      <c r="AN57" s="308"/>
      <c r="AO57" s="308"/>
      <c r="AP57" s="307"/>
      <c r="AQ57" s="307"/>
      <c r="AR57" s="307"/>
      <c r="AS57" s="307"/>
      <c r="AT57" s="80"/>
      <c r="AU57" s="80"/>
      <c r="AV57" s="80"/>
      <c r="AW57" s="80"/>
      <c r="AX57" s="80"/>
      <c r="AY57" s="80"/>
      <c r="AZ57" s="27"/>
      <c r="BA57" s="27"/>
      <c r="BB57" s="27"/>
      <c r="BC57" s="27"/>
      <c r="BD57" s="27"/>
    </row>
    <row r="58" spans="1:56" x14ac:dyDescent="0.2">
      <c r="A58" s="30" t="s">
        <v>237</v>
      </c>
      <c r="B58" s="18"/>
      <c r="C58" s="18"/>
      <c r="D58" s="18"/>
      <c r="E58" s="18"/>
      <c r="F58" s="18"/>
      <c r="G58" s="33"/>
      <c r="H58" s="30" t="s">
        <v>267</v>
      </c>
      <c r="I58" s="30"/>
      <c r="J58" s="30"/>
      <c r="K58" s="9"/>
      <c r="L58" s="25"/>
      <c r="M58" s="9"/>
      <c r="N58" s="9"/>
      <c r="O58" s="9"/>
      <c r="P58" s="9"/>
      <c r="Q58" s="39"/>
      <c r="R58" s="9"/>
      <c r="S58" s="136"/>
      <c r="T58" s="10"/>
      <c r="U58" s="17"/>
      <c r="AB58" s="308"/>
      <c r="AC58" s="308"/>
      <c r="AD58" s="308"/>
      <c r="AE58" s="308">
        <f>5*AI54/2</f>
        <v>0.43611111111111112</v>
      </c>
      <c r="AF58" s="308">
        <f>3*AE58</f>
        <v>1.3083333333333333</v>
      </c>
      <c r="AG58" s="308">
        <f>RADIANS(AF58)</f>
        <v>2.2834724380259144E-2</v>
      </c>
      <c r="AH58" s="308" t="s">
        <v>160</v>
      </c>
      <c r="AI58" s="308"/>
      <c r="AJ58" s="308"/>
      <c r="AK58" s="308">
        <v>11</v>
      </c>
      <c r="AL58" s="308" t="s">
        <v>207</v>
      </c>
      <c r="AM58" s="308"/>
      <c r="AN58" s="308"/>
      <c r="AO58" s="308"/>
      <c r="AP58" s="307"/>
      <c r="AQ58" s="307"/>
      <c r="AR58" s="307"/>
      <c r="AS58" s="307"/>
      <c r="AT58" s="80"/>
      <c r="AU58" s="80"/>
      <c r="AV58" s="80"/>
      <c r="AW58" s="80"/>
      <c r="AX58" s="80"/>
      <c r="AY58" s="80"/>
      <c r="AZ58" s="27"/>
      <c r="BA58" s="27"/>
      <c r="BB58" s="27"/>
      <c r="BC58" s="27"/>
      <c r="BD58" s="27"/>
    </row>
    <row r="59" spans="1:56" x14ac:dyDescent="0.2">
      <c r="A59" s="30" t="s">
        <v>240</v>
      </c>
      <c r="B59" s="18"/>
      <c r="C59" s="9"/>
      <c r="D59" s="9"/>
      <c r="E59" s="9"/>
      <c r="F59" s="9"/>
      <c r="G59" s="10"/>
      <c r="H59" s="30" t="s">
        <v>256</v>
      </c>
      <c r="I59" s="18"/>
      <c r="J59" s="18"/>
      <c r="K59" s="9"/>
      <c r="L59" s="39"/>
      <c r="M59" s="9"/>
      <c r="N59" s="9"/>
      <c r="O59" s="9"/>
      <c r="P59" s="9"/>
      <c r="Q59" s="9"/>
      <c r="R59" s="39"/>
      <c r="S59" s="9"/>
      <c r="T59" s="10"/>
      <c r="U59" s="17"/>
      <c r="AB59" s="308"/>
      <c r="AC59" s="308"/>
      <c r="AD59" s="308"/>
      <c r="AE59" s="315">
        <f>AH55*AH57</f>
        <v>3.981623454078851E-3</v>
      </c>
      <c r="AF59" s="308"/>
      <c r="AG59" s="308"/>
      <c r="AH59" s="308"/>
      <c r="AI59" s="308"/>
      <c r="AJ59" s="308"/>
      <c r="AK59" s="308"/>
      <c r="AL59" s="308">
        <f>11*AE55/2</f>
        <v>990</v>
      </c>
      <c r="AM59" s="308">
        <f>3.14/180</f>
        <v>1.7444444444444446E-2</v>
      </c>
      <c r="AN59" s="308"/>
      <c r="AO59" s="308"/>
      <c r="AP59" s="307"/>
      <c r="AQ59" s="307"/>
      <c r="AR59" s="307"/>
      <c r="AS59" s="307"/>
      <c r="AT59" s="80"/>
      <c r="AU59" s="80"/>
      <c r="AV59" s="80"/>
      <c r="AW59" s="80"/>
      <c r="AX59" s="80"/>
      <c r="AY59" s="80"/>
      <c r="AZ59" s="27"/>
      <c r="BA59" s="27"/>
      <c r="BB59" s="27"/>
      <c r="BC59" s="27"/>
      <c r="BD59" s="27"/>
    </row>
    <row r="60" spans="1:56" x14ac:dyDescent="0.2">
      <c r="A60" s="197">
        <v>220</v>
      </c>
      <c r="B60" s="198"/>
      <c r="C60" s="9"/>
      <c r="D60" s="9"/>
      <c r="E60" s="9"/>
      <c r="F60" s="9"/>
      <c r="G60" s="10"/>
      <c r="H60" s="56" t="s">
        <v>257</v>
      </c>
      <c r="I60" s="18"/>
      <c r="J60" s="18"/>
      <c r="K60" s="9"/>
      <c r="L60" s="25"/>
      <c r="M60" s="9"/>
      <c r="N60" s="9"/>
      <c r="O60" s="9"/>
      <c r="P60" s="9"/>
      <c r="Q60" s="39"/>
      <c r="R60" s="9"/>
      <c r="S60" s="136"/>
      <c r="T60" s="10"/>
      <c r="U60" s="17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15">
        <f>AL59*AM59</f>
        <v>17.270000000000003</v>
      </c>
      <c r="AM60" s="308">
        <f>COS(AL60)</f>
        <v>-8.7594827229419293E-3</v>
      </c>
      <c r="AN60" s="308" t="s">
        <v>160</v>
      </c>
      <c r="AO60" s="308"/>
      <c r="AP60" s="307"/>
      <c r="AQ60" s="307"/>
      <c r="AR60" s="307"/>
      <c r="AS60" s="307"/>
      <c r="AT60" s="80"/>
      <c r="AU60" s="80"/>
      <c r="AV60" s="80"/>
      <c r="AW60" s="80"/>
      <c r="AX60" s="80"/>
      <c r="AY60" s="80"/>
      <c r="AZ60" s="27"/>
      <c r="BA60" s="27"/>
      <c r="BB60" s="27"/>
      <c r="BC60" s="27"/>
      <c r="BD60" s="27"/>
    </row>
    <row r="61" spans="1:56" x14ac:dyDescent="0.2">
      <c r="A61" s="30" t="s">
        <v>239</v>
      </c>
      <c r="B61" s="18"/>
      <c r="C61" s="9"/>
      <c r="D61" s="144" t="s">
        <v>241</v>
      </c>
      <c r="G61" s="10"/>
      <c r="H61" s="56" t="s">
        <v>258</v>
      </c>
      <c r="I61" s="18"/>
      <c r="J61" s="18"/>
      <c r="K61" s="9"/>
      <c r="L61" s="39"/>
      <c r="M61" s="9"/>
      <c r="N61" s="9"/>
      <c r="O61" s="9"/>
      <c r="P61" s="9"/>
      <c r="Q61" s="137"/>
      <c r="R61" s="137"/>
      <c r="S61" s="138"/>
      <c r="T61" s="10"/>
      <c r="U61" s="17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 t="s">
        <v>208</v>
      </c>
      <c r="AM61" s="308"/>
      <c r="AN61" s="308"/>
      <c r="AO61" s="308"/>
      <c r="AP61" s="307"/>
      <c r="AQ61" s="307"/>
      <c r="AR61" s="307"/>
      <c r="AS61" s="307"/>
      <c r="AT61" s="80"/>
      <c r="AU61" s="80"/>
      <c r="AV61" s="80"/>
      <c r="AW61" s="80"/>
      <c r="AX61" s="80"/>
      <c r="AY61" s="80"/>
      <c r="AZ61" s="27"/>
      <c r="BA61" s="27"/>
      <c r="BB61" s="27"/>
      <c r="BC61" s="27"/>
      <c r="BD61" s="27"/>
    </row>
    <row r="62" spans="1:56" x14ac:dyDescent="0.2">
      <c r="A62" s="197">
        <v>380</v>
      </c>
      <c r="B62" s="198"/>
      <c r="C62" s="9"/>
      <c r="D62" s="205">
        <f>AG84*A66</f>
        <v>11.578947368421053</v>
      </c>
      <c r="E62" s="206"/>
      <c r="F62" s="207"/>
      <c r="G62" s="10"/>
      <c r="H62" s="57" t="s">
        <v>259</v>
      </c>
      <c r="I62" s="46"/>
      <c r="J62" s="46"/>
      <c r="K62" s="118"/>
      <c r="L62" s="139"/>
      <c r="M62" s="118"/>
      <c r="N62" s="118"/>
      <c r="O62" s="118"/>
      <c r="P62" s="118"/>
      <c r="Q62" s="140"/>
      <c r="R62" s="140"/>
      <c r="S62" s="141"/>
      <c r="T62" s="142"/>
      <c r="U62" s="58"/>
      <c r="AB62" s="308"/>
      <c r="AC62" s="308"/>
      <c r="AD62" s="308">
        <v>7</v>
      </c>
      <c r="AE62" s="308" t="s">
        <v>207</v>
      </c>
      <c r="AF62" s="308"/>
      <c r="AG62" s="308" t="s">
        <v>208</v>
      </c>
      <c r="AH62" s="308"/>
      <c r="AI62" s="308"/>
      <c r="AJ62" s="308"/>
      <c r="AK62" s="308"/>
      <c r="AL62" s="308">
        <f>11*AG48*AI54/2</f>
        <v>2.8783333333333334</v>
      </c>
      <c r="AM62" s="308">
        <f>RADIANS(AL62)</f>
        <v>5.023639363657012E-2</v>
      </c>
      <c r="AN62" s="308">
        <f>AM62/AN63</f>
        <v>1</v>
      </c>
      <c r="AO62" s="308" t="s">
        <v>160</v>
      </c>
      <c r="AP62" s="307"/>
      <c r="AQ62" s="307"/>
      <c r="AR62" s="307"/>
      <c r="AS62" s="307"/>
      <c r="AT62" s="80"/>
      <c r="AU62" s="80"/>
      <c r="AV62" s="80"/>
      <c r="AW62" s="80"/>
      <c r="AX62" s="80"/>
      <c r="AY62" s="80"/>
      <c r="AZ62" s="27"/>
      <c r="BA62" s="27"/>
      <c r="BB62" s="27"/>
      <c r="BC62" s="27"/>
      <c r="BD62" s="27"/>
    </row>
    <row r="63" spans="1:56" x14ac:dyDescent="0.2">
      <c r="A63" s="30" t="s">
        <v>263</v>
      </c>
      <c r="B63" s="18"/>
      <c r="C63" s="9"/>
      <c r="D63" s="144" t="s">
        <v>242</v>
      </c>
      <c r="E63" s="148"/>
      <c r="F63" s="148"/>
      <c r="G63" s="156"/>
      <c r="H63" s="55"/>
      <c r="I63" s="59"/>
      <c r="J63" s="59"/>
      <c r="L63" s="143"/>
      <c r="U63" s="58"/>
      <c r="AB63" s="308"/>
      <c r="AC63" s="308"/>
      <c r="AD63" s="308"/>
      <c r="AE63" s="308">
        <f>7*AE55/2</f>
        <v>630</v>
      </c>
      <c r="AF63" s="308">
        <f>3.14/180</f>
        <v>1.7444444444444446E-2</v>
      </c>
      <c r="AG63" s="308">
        <f>7*AG48*AI49/2</f>
        <v>1.8316666666666668</v>
      </c>
      <c r="AH63" s="308">
        <f>RADIANS(AG63)</f>
        <v>3.1968614132362808E-2</v>
      </c>
      <c r="AI63" s="308">
        <f>AH63/AI64</f>
        <v>1</v>
      </c>
      <c r="AJ63" s="308" t="s">
        <v>160</v>
      </c>
      <c r="AK63" s="308"/>
      <c r="AL63" s="308">
        <f>11*AI54/2</f>
        <v>0.95944444444444454</v>
      </c>
      <c r="AM63" s="308">
        <f>RADIANS(AL63)</f>
        <v>1.6745464545523375E-2</v>
      </c>
      <c r="AN63" s="308">
        <f>3*AM63</f>
        <v>5.023639363657012E-2</v>
      </c>
      <c r="AO63" s="308"/>
      <c r="AP63" s="307"/>
      <c r="AQ63" s="307"/>
      <c r="AR63" s="307"/>
      <c r="AS63" s="307"/>
      <c r="AT63" s="80"/>
      <c r="AU63" s="80"/>
      <c r="AV63" s="80"/>
      <c r="AW63" s="80"/>
      <c r="AX63" s="80"/>
      <c r="AY63" s="80"/>
      <c r="AZ63" s="27"/>
      <c r="BA63" s="27"/>
      <c r="BB63" s="27"/>
      <c r="BC63" s="27"/>
      <c r="BD63" s="27"/>
    </row>
    <row r="64" spans="1:56" x14ac:dyDescent="0.2">
      <c r="A64" s="197">
        <v>2.04</v>
      </c>
      <c r="B64" s="198"/>
      <c r="C64" s="9"/>
      <c r="D64" s="205">
        <f>AG85*A64</f>
        <v>3.5236363636363639</v>
      </c>
      <c r="E64" s="206"/>
      <c r="F64" s="207"/>
      <c r="G64" s="184" t="s">
        <v>265</v>
      </c>
      <c r="H64" s="14"/>
      <c r="I64" s="15"/>
      <c r="J64" s="15"/>
      <c r="K64" s="144"/>
      <c r="L64" s="144"/>
      <c r="M64" s="144"/>
      <c r="U64" s="4">
        <f>Q58*S58</f>
        <v>0</v>
      </c>
      <c r="AB64" s="308"/>
      <c r="AC64" s="308"/>
      <c r="AD64" s="308"/>
      <c r="AE64" s="308">
        <f>AE63*AF63</f>
        <v>10.990000000000002</v>
      </c>
      <c r="AF64" s="308"/>
      <c r="AG64" s="308">
        <f>7*AI54/2</f>
        <v>0.61055555555555563</v>
      </c>
      <c r="AH64" s="308">
        <f>RADIANS(AG64)</f>
        <v>1.0656204710787603E-2</v>
      </c>
      <c r="AI64" s="308">
        <f>AH64*3</f>
        <v>3.1968614132362808E-2</v>
      </c>
      <c r="AJ64" s="308"/>
      <c r="AK64" s="308"/>
      <c r="AL64" s="315">
        <f>AM60*AN62</f>
        <v>-8.7594827229419293E-3</v>
      </c>
      <c r="AM64" s="308"/>
      <c r="AN64" s="308"/>
      <c r="AO64" s="308"/>
      <c r="AP64" s="307"/>
      <c r="AQ64" s="307"/>
      <c r="AR64" s="307"/>
      <c r="AS64" s="307"/>
      <c r="AT64" s="80"/>
      <c r="AU64" s="80"/>
      <c r="AV64" s="80"/>
      <c r="AW64" s="80"/>
      <c r="AX64" s="80"/>
      <c r="AY64" s="80"/>
      <c r="AZ64" s="27"/>
      <c r="BA64" s="27"/>
      <c r="BB64" s="27"/>
      <c r="BC64" s="27"/>
      <c r="BD64" s="27"/>
    </row>
    <row r="65" spans="1:56" x14ac:dyDescent="0.2">
      <c r="A65" s="30" t="s">
        <v>238</v>
      </c>
      <c r="B65" s="18"/>
      <c r="C65" s="9"/>
      <c r="D65" s="9"/>
      <c r="E65" s="137"/>
      <c r="F65" s="137"/>
      <c r="G65" s="156"/>
      <c r="L65" s="145"/>
      <c r="R65" s="146"/>
      <c r="U65" s="4">
        <f>Q60*S60</f>
        <v>0</v>
      </c>
      <c r="AB65" s="308"/>
      <c r="AC65" s="308"/>
      <c r="AD65" s="308"/>
      <c r="AE65" s="308">
        <f>COS(AE64)</f>
        <v>-5.5742586963085251E-3</v>
      </c>
      <c r="AF65" s="308" t="s">
        <v>160</v>
      </c>
      <c r="AG65" s="315">
        <f>AE65*AI63</f>
        <v>-5.5742586963085251E-3</v>
      </c>
      <c r="AH65" s="308"/>
      <c r="AI65" s="308"/>
      <c r="AJ65" s="308"/>
      <c r="AK65" s="308"/>
      <c r="AL65" s="308"/>
      <c r="AM65" s="308"/>
      <c r="AN65" s="308"/>
      <c r="AO65" s="308"/>
      <c r="AP65" s="307"/>
      <c r="AQ65" s="307"/>
      <c r="AR65" s="307"/>
      <c r="AS65" s="307"/>
      <c r="AT65" s="80"/>
      <c r="AU65" s="80"/>
      <c r="AV65" s="80"/>
      <c r="AW65" s="80"/>
      <c r="AX65" s="80"/>
      <c r="AY65" s="80"/>
      <c r="AZ65" s="27"/>
      <c r="BA65" s="27"/>
      <c r="BB65" s="27"/>
      <c r="BC65" s="27"/>
      <c r="BD65" s="27"/>
    </row>
    <row r="66" spans="1:56" x14ac:dyDescent="0.2">
      <c r="A66" s="197">
        <v>20</v>
      </c>
      <c r="B66" s="198"/>
      <c r="C66" s="39"/>
      <c r="D66" s="9"/>
      <c r="E66" s="137"/>
      <c r="F66" s="137"/>
      <c r="G66" s="156"/>
      <c r="L66" s="147"/>
      <c r="U66" s="4">
        <f>U64+U65</f>
        <v>0</v>
      </c>
      <c r="AB66" s="308"/>
      <c r="AC66" s="308"/>
      <c r="AD66" s="308"/>
      <c r="AE66" s="308"/>
      <c r="AF66" s="308"/>
      <c r="AG66" s="315"/>
      <c r="AH66" s="308"/>
      <c r="AI66" s="308"/>
      <c r="AJ66" s="308"/>
      <c r="AK66" s="308"/>
      <c r="AL66" s="308"/>
      <c r="AM66" s="308"/>
      <c r="AN66" s="308"/>
      <c r="AO66" s="308"/>
      <c r="AP66" s="307"/>
      <c r="AQ66" s="307"/>
      <c r="AR66" s="307"/>
      <c r="AS66" s="307"/>
      <c r="AT66" s="80"/>
      <c r="AU66" s="80"/>
      <c r="AV66" s="80"/>
      <c r="AW66" s="80"/>
      <c r="AX66" s="80"/>
      <c r="AY66" s="80"/>
      <c r="AZ66" s="27"/>
      <c r="BA66" s="27"/>
      <c r="BB66" s="27"/>
      <c r="BC66" s="27"/>
      <c r="BD66" s="27"/>
    </row>
    <row r="67" spans="1:56" x14ac:dyDescent="0.2">
      <c r="A67" s="31" t="s">
        <v>283</v>
      </c>
      <c r="B67" s="31"/>
      <c r="C67" s="179"/>
      <c r="D67" s="8"/>
      <c r="E67" s="137"/>
      <c r="F67" s="137"/>
      <c r="G67" s="156"/>
      <c r="R67" s="143"/>
      <c r="U67" s="4"/>
      <c r="AB67" s="308"/>
      <c r="AC67" s="308"/>
      <c r="AD67" s="308"/>
      <c r="AE67" s="308">
        <v>13</v>
      </c>
      <c r="AF67" s="308"/>
      <c r="AG67" s="308"/>
      <c r="AH67" s="308"/>
      <c r="AI67" s="308"/>
      <c r="AJ67" s="308"/>
      <c r="AK67" s="315"/>
      <c r="AL67" s="308"/>
      <c r="AM67" s="308"/>
      <c r="AN67" s="308"/>
      <c r="AO67" s="308"/>
      <c r="AP67" s="307"/>
      <c r="AQ67" s="307"/>
      <c r="AR67" s="307"/>
      <c r="AS67" s="307"/>
      <c r="AT67" s="80"/>
      <c r="AU67" s="80"/>
      <c r="AV67" s="80"/>
      <c r="AW67" s="80"/>
      <c r="AX67" s="80"/>
      <c r="AY67" s="80"/>
      <c r="AZ67" s="27"/>
      <c r="BA67" s="27"/>
      <c r="BB67" s="27"/>
      <c r="BC67" s="27"/>
      <c r="BD67" s="27"/>
    </row>
    <row r="68" spans="1:56" x14ac:dyDescent="0.2">
      <c r="A68" s="30" t="s">
        <v>244</v>
      </c>
      <c r="B68" s="30"/>
      <c r="C68" s="157"/>
      <c r="D68" s="8" t="s">
        <v>243</v>
      </c>
      <c r="E68" s="180"/>
      <c r="F68" s="180"/>
      <c r="G68" s="181"/>
      <c r="L68" s="148"/>
      <c r="M68" s="148"/>
      <c r="N68" s="149"/>
      <c r="AB68" s="308"/>
      <c r="AC68" s="308"/>
      <c r="AD68" s="308"/>
      <c r="AE68" s="308" t="s">
        <v>207</v>
      </c>
      <c r="AF68" s="308"/>
      <c r="AG68" s="308"/>
      <c r="AH68" s="308" t="s">
        <v>214</v>
      </c>
      <c r="AI68" s="308"/>
      <c r="AJ68" s="308"/>
      <c r="AK68" s="315"/>
      <c r="AL68" s="308"/>
      <c r="AM68" s="308"/>
      <c r="AN68" s="308"/>
      <c r="AO68" s="308"/>
      <c r="AP68" s="307"/>
      <c r="AQ68" s="307"/>
      <c r="AR68" s="307"/>
      <c r="AS68" s="307"/>
      <c r="AT68" s="80"/>
      <c r="AU68" s="80"/>
      <c r="AV68" s="80"/>
      <c r="AW68" s="80"/>
      <c r="AX68" s="80"/>
      <c r="AY68" s="80"/>
      <c r="AZ68" s="27"/>
      <c r="BA68" s="27"/>
      <c r="BB68" s="27"/>
      <c r="BC68" s="27"/>
      <c r="BD68" s="27"/>
    </row>
    <row r="69" spans="1:56" x14ac:dyDescent="0.2">
      <c r="A69" s="30" t="s">
        <v>245</v>
      </c>
      <c r="B69" s="50"/>
      <c r="C69" s="30"/>
      <c r="D69" s="18"/>
      <c r="E69" s="49"/>
      <c r="F69" s="49"/>
      <c r="G69" s="48"/>
      <c r="AB69" s="308"/>
      <c r="AC69" s="308"/>
      <c r="AD69" s="308"/>
      <c r="AE69" s="308">
        <f>13*AE55/2</f>
        <v>1170</v>
      </c>
      <c r="AF69" s="308">
        <f>3.14/180</f>
        <v>1.7444444444444446E-2</v>
      </c>
      <c r="AG69" s="308"/>
      <c r="AH69" s="308">
        <f>13*AG48*AI54/2</f>
        <v>3.4016666666666668</v>
      </c>
      <c r="AI69" s="308">
        <f>RADIANS(AH69)</f>
        <v>5.9370283388673777E-2</v>
      </c>
      <c r="AJ69" s="308" t="s">
        <v>160</v>
      </c>
      <c r="AK69" s="308"/>
      <c r="AL69" s="308"/>
      <c r="AM69" s="308"/>
      <c r="AN69" s="308"/>
      <c r="AO69" s="308"/>
      <c r="AP69" s="307"/>
      <c r="AQ69" s="307"/>
      <c r="AR69" s="307"/>
      <c r="AS69" s="307"/>
      <c r="AT69" s="80"/>
      <c r="AU69" s="80"/>
      <c r="AV69" s="80"/>
      <c r="AW69" s="80"/>
      <c r="AX69" s="80"/>
      <c r="AY69" s="80"/>
      <c r="AZ69" s="27"/>
      <c r="BA69" s="27"/>
      <c r="BB69" s="27"/>
      <c r="BC69" s="27"/>
      <c r="BD69" s="27"/>
    </row>
    <row r="70" spans="1:56" ht="15.75" thickBot="1" x14ac:dyDescent="0.25">
      <c r="A70" s="30" t="s">
        <v>246</v>
      </c>
      <c r="B70" s="30"/>
      <c r="C70" s="30"/>
      <c r="D70" s="46"/>
      <c r="E70" s="46"/>
      <c r="F70" s="46"/>
      <c r="G70" s="38"/>
      <c r="AB70" s="308"/>
      <c r="AC70" s="308"/>
      <c r="AD70" s="308"/>
      <c r="AE70" s="308">
        <f>AE69*AF69</f>
        <v>20.410000000000004</v>
      </c>
      <c r="AF70" s="308">
        <f>COS(AE70)</f>
        <v>1.0352063427880944E-2</v>
      </c>
      <c r="AG70" s="308" t="s">
        <v>160</v>
      </c>
      <c r="AH70" s="308">
        <f>13*AI54/2</f>
        <v>1.1338888888888889</v>
      </c>
      <c r="AI70" s="308">
        <f>RADIANS(AH70)</f>
        <v>1.9790094462891261E-2</v>
      </c>
      <c r="AJ70" s="308">
        <f>3*AH70</f>
        <v>3.4016666666666668</v>
      </c>
      <c r="AK70" s="308">
        <f>AI69/AJ70</f>
        <v>1.7453292519943295E-2</v>
      </c>
      <c r="AL70" s="308" t="s">
        <v>160</v>
      </c>
      <c r="AM70" s="308"/>
      <c r="AN70" s="308"/>
      <c r="AO70" s="308"/>
      <c r="AP70" s="307"/>
      <c r="AQ70" s="307"/>
      <c r="AR70" s="307"/>
      <c r="AS70" s="307"/>
      <c r="AT70" s="80"/>
      <c r="AU70" s="80"/>
      <c r="AV70" s="80"/>
      <c r="AW70" s="80"/>
      <c r="AX70" s="80"/>
      <c r="AY70" s="80"/>
      <c r="AZ70" s="27"/>
      <c r="BA70" s="27"/>
      <c r="BB70" s="27"/>
      <c r="BC70" s="27"/>
      <c r="BD70" s="27"/>
    </row>
    <row r="71" spans="1:56" ht="15.75" thickBot="1" x14ac:dyDescent="0.25">
      <c r="A71" s="51" t="s">
        <v>247</v>
      </c>
      <c r="B71" s="52"/>
      <c r="C71" s="53"/>
      <c r="D71" s="18"/>
      <c r="E71" s="18"/>
      <c r="F71" s="18"/>
      <c r="G71" s="54"/>
      <c r="AB71" s="308"/>
      <c r="AC71" s="308"/>
      <c r="AD71" s="308"/>
      <c r="AE71" s="308"/>
      <c r="AF71" s="308"/>
      <c r="AG71" s="315">
        <f>AF70*AK70</f>
        <v>1.8067759119181302E-4</v>
      </c>
      <c r="AH71" s="308"/>
      <c r="AI71" s="308"/>
      <c r="AJ71" s="308"/>
      <c r="AK71" s="308"/>
      <c r="AL71" s="308"/>
      <c r="AM71" s="308"/>
      <c r="AN71" s="308"/>
      <c r="AO71" s="308"/>
      <c r="AP71" s="307"/>
      <c r="AQ71" s="307"/>
      <c r="AR71" s="307"/>
      <c r="AS71" s="307"/>
      <c r="AT71" s="80"/>
      <c r="AU71" s="80"/>
      <c r="AV71" s="80"/>
      <c r="AW71" s="80"/>
      <c r="AX71" s="80"/>
      <c r="AY71" s="80"/>
      <c r="AZ71" s="27"/>
      <c r="BA71" s="27"/>
      <c r="BB71" s="27"/>
      <c r="BC71" s="27"/>
      <c r="BD71" s="27"/>
    </row>
    <row r="72" spans="1:56" x14ac:dyDescent="0.2">
      <c r="A72" s="30" t="s">
        <v>237</v>
      </c>
      <c r="B72" s="18"/>
      <c r="C72" s="9"/>
      <c r="D72" s="9"/>
      <c r="E72" s="9"/>
      <c r="F72" s="9"/>
      <c r="G72" s="33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7"/>
      <c r="AQ72" s="307"/>
      <c r="AR72" s="307"/>
      <c r="AS72" s="307"/>
      <c r="AT72" s="80"/>
      <c r="AU72" s="80"/>
      <c r="AV72" s="80"/>
      <c r="AW72" s="80"/>
      <c r="AX72" s="80"/>
      <c r="AY72" s="80"/>
      <c r="AZ72" s="27"/>
      <c r="BA72" s="27"/>
      <c r="BB72" s="27"/>
      <c r="BC72" s="27"/>
      <c r="BD72" s="27"/>
    </row>
    <row r="73" spans="1:56" x14ac:dyDescent="0.2">
      <c r="A73" s="11" t="s">
        <v>248</v>
      </c>
      <c r="B73" s="9"/>
      <c r="C73" s="9"/>
      <c r="D73" s="9"/>
      <c r="E73" s="11"/>
      <c r="F73" s="9"/>
      <c r="G73" s="33"/>
      <c r="AB73" s="308"/>
      <c r="AC73" s="308"/>
      <c r="AD73" s="308">
        <v>17</v>
      </c>
      <c r="AE73" s="308" t="s">
        <v>207</v>
      </c>
      <c r="AF73" s="308"/>
      <c r="AG73" s="308" t="s">
        <v>214</v>
      </c>
      <c r="AH73" s="308"/>
      <c r="AI73" s="308"/>
      <c r="AJ73" s="308"/>
      <c r="AK73" s="308"/>
      <c r="AL73" s="308"/>
      <c r="AM73" s="308"/>
      <c r="AN73" s="308"/>
      <c r="AO73" s="308"/>
      <c r="AP73" s="307"/>
      <c r="AQ73" s="307"/>
      <c r="AR73" s="307"/>
      <c r="AS73" s="307"/>
      <c r="AT73" s="80"/>
      <c r="AU73" s="80"/>
      <c r="AV73" s="80"/>
      <c r="AW73" s="80"/>
      <c r="AX73" s="80"/>
      <c r="AY73" s="80"/>
      <c r="AZ73" s="27"/>
      <c r="BA73" s="27"/>
      <c r="BB73" s="27"/>
      <c r="BC73" s="27"/>
      <c r="BD73" s="27"/>
    </row>
    <row r="74" spans="1:56" x14ac:dyDescent="0.2">
      <c r="A74" s="197">
        <v>50</v>
      </c>
      <c r="B74" s="198"/>
      <c r="C74" s="9"/>
      <c r="D74" s="9"/>
      <c r="E74" s="9"/>
      <c r="F74" s="9"/>
      <c r="G74" s="33"/>
      <c r="AB74" s="308"/>
      <c r="AC74" s="308"/>
      <c r="AD74" s="308"/>
      <c r="AE74" s="308">
        <f>17*AE55/2</f>
        <v>1530</v>
      </c>
      <c r="AF74" s="308">
        <f>3.14/180</f>
        <v>1.7444444444444446E-2</v>
      </c>
      <c r="AG74" s="308"/>
      <c r="AH74" s="308">
        <f>17*AG48*AI54/2</f>
        <v>4.4483333333333333</v>
      </c>
      <c r="AI74" s="308">
        <f>RADIANS(AH74)</f>
        <v>7.7638062892881096E-2</v>
      </c>
      <c r="AJ74" s="308"/>
      <c r="AK74" s="308">
        <f>AI74/AJ75</f>
        <v>0.99999999999999978</v>
      </c>
      <c r="AL74" s="308"/>
      <c r="AM74" s="308"/>
      <c r="AN74" s="308"/>
      <c r="AO74" s="308"/>
      <c r="AP74" s="307"/>
      <c r="AQ74" s="307"/>
      <c r="AR74" s="307"/>
      <c r="AS74" s="307"/>
      <c r="AT74" s="80"/>
      <c r="AU74" s="80"/>
      <c r="AV74" s="80"/>
      <c r="AW74" s="80"/>
      <c r="AX74" s="80"/>
      <c r="AY74" s="80"/>
      <c r="AZ74" s="27"/>
      <c r="BA74" s="27"/>
      <c r="BB74" s="27"/>
      <c r="BC74" s="27"/>
      <c r="BD74" s="27"/>
    </row>
    <row r="75" spans="1:56" ht="15" customHeight="1" x14ac:dyDescent="0.2">
      <c r="A75" s="30" t="s">
        <v>249</v>
      </c>
      <c r="B75" s="18"/>
      <c r="C75" s="9"/>
      <c r="D75" s="11" t="s">
        <v>264</v>
      </c>
      <c r="E75" s="9"/>
      <c r="F75" s="9"/>
      <c r="G75" s="33"/>
      <c r="AB75" s="308"/>
      <c r="AC75" s="308"/>
      <c r="AD75" s="308"/>
      <c r="AE75" s="308">
        <f>AE74*AF74</f>
        <v>26.690000000000005</v>
      </c>
      <c r="AF75" s="308">
        <f>COS(AE75)</f>
        <v>1.3537142022751355E-2</v>
      </c>
      <c r="AG75" s="308"/>
      <c r="AH75" s="308">
        <f>17*AI54/2</f>
        <v>1.482777777777778</v>
      </c>
      <c r="AI75" s="308">
        <f>RADIANS(AH75)</f>
        <v>2.5879354297627034E-2</v>
      </c>
      <c r="AJ75" s="308">
        <f>3*AI75</f>
        <v>7.763806289288111E-2</v>
      </c>
      <c r="AK75" s="308"/>
      <c r="AL75" s="308"/>
      <c r="AM75" s="308"/>
      <c r="AN75" s="308"/>
      <c r="AO75" s="308"/>
      <c r="AP75" s="307"/>
      <c r="AQ75" s="307"/>
      <c r="AR75" s="307"/>
      <c r="AS75" s="307"/>
      <c r="AT75" s="80"/>
      <c r="AU75" s="80"/>
      <c r="AV75" s="80"/>
      <c r="AW75" s="80"/>
      <c r="AX75" s="80"/>
      <c r="AY75" s="80"/>
      <c r="AZ75" s="27"/>
      <c r="BA75" s="27"/>
      <c r="BB75" s="27"/>
      <c r="BC75" s="27"/>
      <c r="BD75" s="27"/>
    </row>
    <row r="76" spans="1:56" ht="15" customHeight="1" x14ac:dyDescent="0.2">
      <c r="A76" s="197">
        <v>60</v>
      </c>
      <c r="B76" s="198"/>
      <c r="C76" s="9"/>
      <c r="D76" s="203">
        <f>A78*AE84</f>
        <v>1.7999999999999998</v>
      </c>
      <c r="E76" s="204"/>
      <c r="F76" s="9"/>
      <c r="G76" s="33"/>
      <c r="AB76" s="308"/>
      <c r="AC76" s="308"/>
      <c r="AD76" s="308"/>
      <c r="AE76" s="308"/>
      <c r="AF76" s="308"/>
      <c r="AG76" s="315">
        <f>AF75*AK74</f>
        <v>1.3537142022751351E-2</v>
      </c>
      <c r="AH76" s="308"/>
      <c r="AI76" s="308"/>
      <c r="AJ76" s="308"/>
      <c r="AK76" s="308"/>
      <c r="AL76" s="308"/>
      <c r="AM76" s="308"/>
      <c r="AN76" s="308"/>
      <c r="AO76" s="308"/>
      <c r="AP76" s="307"/>
      <c r="AQ76" s="307"/>
      <c r="AR76" s="307"/>
      <c r="AS76" s="307"/>
      <c r="AT76" s="80"/>
      <c r="AU76" s="80"/>
      <c r="AV76" s="80"/>
      <c r="AW76" s="80"/>
      <c r="AX76" s="80"/>
      <c r="AY76" s="80"/>
      <c r="AZ76" s="27"/>
      <c r="BA76" s="27"/>
      <c r="BB76" s="27"/>
      <c r="BC76" s="27"/>
      <c r="BD76" s="27"/>
    </row>
    <row r="77" spans="1:56" x14ac:dyDescent="0.2">
      <c r="A77" s="30" t="s">
        <v>250</v>
      </c>
      <c r="B77" s="17"/>
      <c r="C77" s="9"/>
      <c r="D77" s="144" t="s">
        <v>252</v>
      </c>
      <c r="F77" s="9"/>
      <c r="G77" s="33"/>
      <c r="AB77" s="308"/>
      <c r="AC77" s="308"/>
      <c r="AD77" s="308"/>
      <c r="AE77" s="308"/>
      <c r="AF77" s="308"/>
      <c r="AG77" s="308"/>
      <c r="AH77" s="308" t="s">
        <v>210</v>
      </c>
      <c r="AI77" s="308"/>
      <c r="AJ77" s="308"/>
      <c r="AK77" s="308"/>
      <c r="AL77" s="308"/>
      <c r="AM77" s="308"/>
      <c r="AN77" s="308"/>
      <c r="AO77" s="308"/>
      <c r="AP77" s="307"/>
      <c r="AQ77" s="307"/>
      <c r="AR77" s="307"/>
      <c r="AS77" s="307"/>
      <c r="AT77" s="80"/>
      <c r="AU77" s="80"/>
      <c r="AV77" s="80"/>
      <c r="AW77" s="80"/>
      <c r="AX77" s="80"/>
      <c r="AY77" s="80"/>
      <c r="AZ77" s="27"/>
      <c r="BA77" s="27"/>
      <c r="BB77" s="27"/>
      <c r="BC77" s="27"/>
      <c r="BD77" s="27"/>
    </row>
    <row r="78" spans="1:56" x14ac:dyDescent="0.2">
      <c r="A78" s="199">
        <v>1.5</v>
      </c>
      <c r="B78" s="200"/>
      <c r="C78" s="9"/>
      <c r="D78" s="201">
        <f>A80/AE84</f>
        <v>10.833333333333334</v>
      </c>
      <c r="E78" s="202"/>
      <c r="F78" s="9"/>
      <c r="G78" s="33"/>
      <c r="AB78" s="308"/>
      <c r="AC78" s="308"/>
      <c r="AD78" s="308"/>
      <c r="AE78" s="308" t="s">
        <v>207</v>
      </c>
      <c r="AF78" s="308"/>
      <c r="AG78" s="308"/>
      <c r="AH78" s="308" t="s">
        <v>208</v>
      </c>
      <c r="AI78" s="308"/>
      <c r="AJ78" s="308"/>
      <c r="AK78" s="308"/>
      <c r="AL78" s="308"/>
      <c r="AM78" s="308"/>
      <c r="AN78" s="308"/>
      <c r="AO78" s="308"/>
      <c r="AP78" s="307"/>
      <c r="AQ78" s="307"/>
      <c r="AR78" s="307"/>
      <c r="AS78" s="307"/>
      <c r="AT78" s="80"/>
      <c r="AU78" s="80"/>
      <c r="AV78" s="80"/>
      <c r="AW78" s="80"/>
      <c r="AX78" s="80"/>
      <c r="AY78" s="80"/>
      <c r="AZ78" s="27"/>
      <c r="BA78" s="27"/>
      <c r="BB78" s="27"/>
      <c r="BC78" s="27"/>
      <c r="BD78" s="27"/>
    </row>
    <row r="79" spans="1:56" x14ac:dyDescent="0.2">
      <c r="A79" s="30" t="s">
        <v>251</v>
      </c>
      <c r="B79" s="18"/>
      <c r="C79" s="9"/>
      <c r="D79" s="9"/>
      <c r="E79" s="9"/>
      <c r="F79" s="9"/>
      <c r="G79" s="33"/>
      <c r="AB79" s="308"/>
      <c r="AC79" s="308"/>
      <c r="AD79" s="308"/>
      <c r="AE79" s="308">
        <f>1*AE55*AI54/2</f>
        <v>15.700000000000001</v>
      </c>
      <c r="AF79" s="308">
        <f>3.14/180</f>
        <v>1.7444444444444446E-2</v>
      </c>
      <c r="AG79" s="308"/>
      <c r="AH79" s="308">
        <f>1*AG48*AI54/2</f>
        <v>0.26166666666666671</v>
      </c>
      <c r="AI79" s="308">
        <f>RADIANS(AH79)</f>
        <v>4.5669448760518299E-3</v>
      </c>
      <c r="AJ79" s="308"/>
      <c r="AK79" s="308">
        <f>AI79/AJ80</f>
        <v>1</v>
      </c>
      <c r="AL79" s="308"/>
      <c r="AM79" s="308"/>
      <c r="AN79" s="308"/>
      <c r="AO79" s="308"/>
      <c r="AP79" s="307"/>
      <c r="AQ79" s="307"/>
      <c r="AR79" s="307"/>
      <c r="AS79" s="307"/>
      <c r="AT79" s="80"/>
      <c r="AU79" s="80"/>
      <c r="AV79" s="80"/>
      <c r="AW79" s="80"/>
      <c r="AX79" s="80"/>
      <c r="AY79" s="80"/>
      <c r="AZ79" s="27"/>
      <c r="BA79" s="27"/>
      <c r="BB79" s="27"/>
      <c r="BC79" s="27"/>
      <c r="BD79" s="27"/>
    </row>
    <row r="80" spans="1:56" x14ac:dyDescent="0.2">
      <c r="A80" s="197">
        <v>13</v>
      </c>
      <c r="B80" s="198"/>
      <c r="C80" s="18"/>
      <c r="D80" s="18"/>
      <c r="E80" s="18"/>
      <c r="F80" s="18"/>
      <c r="G80" s="33"/>
      <c r="AB80" s="308"/>
      <c r="AC80" s="308"/>
      <c r="AD80" s="308"/>
      <c r="AE80" s="308">
        <f>AE79*AF79</f>
        <v>0.27387777777777783</v>
      </c>
      <c r="AF80" s="308">
        <f>COS(AE80)</f>
        <v>0.96272932754053719</v>
      </c>
      <c r="AG80" s="308" t="s">
        <v>160</v>
      </c>
      <c r="AH80" s="308">
        <f>1*AI54/2</f>
        <v>8.7222222222222229E-2</v>
      </c>
      <c r="AI80" s="308">
        <f>3*AH80</f>
        <v>0.26166666666666671</v>
      </c>
      <c r="AJ80" s="308">
        <f>RADIANS(AI80)</f>
        <v>4.5669448760518299E-3</v>
      </c>
      <c r="AK80" s="308"/>
      <c r="AL80" s="308"/>
      <c r="AM80" s="308"/>
      <c r="AN80" s="308"/>
      <c r="AO80" s="308"/>
      <c r="AP80" s="307"/>
      <c r="AQ80" s="307"/>
      <c r="AR80" s="307"/>
      <c r="AS80" s="307"/>
      <c r="AT80" s="80"/>
      <c r="AU80" s="80"/>
      <c r="AV80" s="80"/>
      <c r="AW80" s="80"/>
      <c r="AX80" s="80"/>
      <c r="AY80" s="80"/>
      <c r="AZ80" s="27"/>
      <c r="BA80" s="27"/>
      <c r="BB80" s="27"/>
      <c r="BC80" s="27"/>
      <c r="BD80" s="27"/>
    </row>
    <row r="81" spans="1:56" x14ac:dyDescent="0.2">
      <c r="A81" s="46"/>
      <c r="B81" s="46"/>
      <c r="C81" s="46"/>
      <c r="D81" s="46"/>
      <c r="E81" s="46"/>
      <c r="F81" s="46"/>
      <c r="G81" s="38"/>
      <c r="AB81" s="308"/>
      <c r="AC81" s="308"/>
      <c r="AD81" s="308"/>
      <c r="AE81" s="308"/>
      <c r="AF81" s="308"/>
      <c r="AG81" s="315">
        <f>AF80*AK79</f>
        <v>0.96272932754053719</v>
      </c>
      <c r="AH81" s="308"/>
      <c r="AI81" s="308"/>
      <c r="AJ81" s="308"/>
      <c r="AK81" s="308"/>
      <c r="AL81" s="308"/>
      <c r="AM81" s="308"/>
      <c r="AN81" s="308"/>
      <c r="AO81" s="308"/>
      <c r="AP81" s="307"/>
      <c r="AQ81" s="307"/>
      <c r="AR81" s="307"/>
      <c r="AS81" s="307"/>
      <c r="AT81" s="80"/>
      <c r="AU81" s="80"/>
      <c r="AV81" s="80"/>
      <c r="AW81" s="80"/>
      <c r="AX81" s="80"/>
      <c r="AY81" s="80"/>
      <c r="AZ81" s="27"/>
      <c r="BA81" s="27"/>
      <c r="BB81" s="27"/>
      <c r="BC81" s="27"/>
      <c r="BD81" s="27"/>
    </row>
    <row r="82" spans="1:56" x14ac:dyDescent="0.2"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8"/>
      <c r="AP82" s="307"/>
      <c r="AQ82" s="307"/>
      <c r="AR82" s="307"/>
      <c r="AS82" s="307"/>
      <c r="AT82" s="80"/>
      <c r="AU82" s="80"/>
      <c r="AV82" s="80"/>
      <c r="AW82" s="80"/>
      <c r="AX82" s="80"/>
      <c r="AY82" s="80"/>
      <c r="AZ82" s="27"/>
      <c r="BA82" s="27"/>
      <c r="BB82" s="27"/>
      <c r="BC82" s="27"/>
      <c r="BD82" s="27"/>
    </row>
    <row r="83" spans="1:56" x14ac:dyDescent="0.2">
      <c r="AB83" s="308"/>
      <c r="AC83" s="308"/>
      <c r="AD83" s="308"/>
      <c r="AE83" s="308" t="s">
        <v>253</v>
      </c>
      <c r="AF83" s="308"/>
      <c r="AG83" s="308" t="s">
        <v>254</v>
      </c>
      <c r="AH83" s="308"/>
      <c r="AI83" s="308"/>
      <c r="AJ83" s="308"/>
      <c r="AK83" s="308"/>
      <c r="AL83" s="308"/>
      <c r="AM83" s="308"/>
      <c r="AN83" s="308"/>
      <c r="AO83" s="308"/>
      <c r="AP83" s="307"/>
      <c r="AQ83" s="307"/>
      <c r="AR83" s="307"/>
      <c r="AS83" s="307"/>
      <c r="AT83" s="80"/>
      <c r="AU83" s="80"/>
      <c r="AV83" s="80"/>
      <c r="AW83" s="80"/>
      <c r="AX83" s="80"/>
      <c r="AY83" s="80"/>
      <c r="AZ83" s="27"/>
      <c r="BA83" s="27"/>
      <c r="BB83" s="27"/>
      <c r="BC83" s="27"/>
      <c r="BD83" s="27"/>
    </row>
    <row r="84" spans="1:56" x14ac:dyDescent="0.2">
      <c r="AB84" s="308"/>
      <c r="AC84" s="308"/>
      <c r="AD84" s="308"/>
      <c r="AE84" s="308">
        <f>A76/A74</f>
        <v>1.2</v>
      </c>
      <c r="AF84" s="308"/>
      <c r="AG84" s="308">
        <f>A60/A62</f>
        <v>0.57894736842105265</v>
      </c>
      <c r="AH84" s="308"/>
      <c r="AI84" s="308"/>
      <c r="AJ84" s="308"/>
      <c r="AK84" s="308"/>
      <c r="AL84" s="308"/>
      <c r="AM84" s="308"/>
      <c r="AN84" s="308"/>
      <c r="AO84" s="308"/>
      <c r="AP84" s="307"/>
      <c r="AQ84" s="307"/>
      <c r="AR84" s="307"/>
      <c r="AS84" s="307"/>
      <c r="AT84" s="80"/>
      <c r="AU84" s="80"/>
      <c r="AV84" s="80"/>
      <c r="AW84" s="80"/>
      <c r="AX84" s="80"/>
      <c r="AY84" s="80"/>
      <c r="AZ84" s="27"/>
      <c r="BA84" s="27"/>
      <c r="BB84" s="27"/>
      <c r="BC84" s="27"/>
      <c r="BD84" s="27"/>
    </row>
    <row r="85" spans="1:56" x14ac:dyDescent="0.2">
      <c r="AB85" s="308"/>
      <c r="AC85" s="308"/>
      <c r="AD85" s="308"/>
      <c r="AE85" s="308"/>
      <c r="AF85" s="308"/>
      <c r="AG85" s="308">
        <f>A62/A60</f>
        <v>1.7272727272727273</v>
      </c>
      <c r="AH85" s="308"/>
      <c r="AI85" s="308"/>
      <c r="AJ85" s="308"/>
      <c r="AK85" s="308"/>
      <c r="AL85" s="308"/>
      <c r="AM85" s="308"/>
      <c r="AN85" s="308"/>
      <c r="AO85" s="308"/>
      <c r="AP85" s="307"/>
      <c r="AQ85" s="307"/>
      <c r="AR85" s="307"/>
      <c r="AS85" s="307"/>
      <c r="AT85" s="80"/>
      <c r="AU85" s="80"/>
      <c r="AV85" s="80"/>
      <c r="AW85" s="80"/>
      <c r="AX85" s="80"/>
      <c r="AY85" s="80"/>
      <c r="AZ85" s="27"/>
      <c r="BA85" s="27"/>
      <c r="BB85" s="27"/>
      <c r="BC85" s="27"/>
      <c r="BD85" s="27"/>
    </row>
    <row r="86" spans="1:56" x14ac:dyDescent="0.2"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7"/>
      <c r="AQ86" s="307"/>
      <c r="AR86" s="307"/>
      <c r="AS86" s="307"/>
      <c r="AT86" s="80"/>
      <c r="AU86" s="80"/>
      <c r="AV86" s="80"/>
      <c r="AW86" s="80"/>
      <c r="AX86" s="80"/>
      <c r="AY86" s="80"/>
      <c r="AZ86" s="27"/>
      <c r="BA86" s="27"/>
      <c r="BB86" s="27"/>
      <c r="BC86" s="27"/>
      <c r="BD86" s="27"/>
    </row>
    <row r="87" spans="1:56" x14ac:dyDescent="0.2">
      <c r="AB87" s="308"/>
      <c r="AC87" s="308"/>
      <c r="AD87" s="308"/>
      <c r="AE87" s="308"/>
      <c r="AF87" s="308"/>
      <c r="AG87" s="308"/>
      <c r="AH87" s="308"/>
      <c r="AI87" s="308"/>
      <c r="AJ87" s="308"/>
      <c r="AK87" s="308"/>
      <c r="AL87" s="308"/>
      <c r="AM87" s="308"/>
      <c r="AN87" s="308"/>
      <c r="AO87" s="308"/>
      <c r="AP87" s="307"/>
      <c r="AQ87" s="307"/>
      <c r="AR87" s="307"/>
      <c r="AS87" s="307"/>
      <c r="AT87" s="80"/>
      <c r="AU87" s="80"/>
      <c r="AV87" s="80"/>
      <c r="AW87" s="80"/>
      <c r="AX87" s="80"/>
      <c r="AY87" s="80"/>
      <c r="AZ87" s="27"/>
      <c r="BA87" s="27"/>
      <c r="BB87" s="27"/>
      <c r="BC87" s="27"/>
      <c r="BD87" s="27"/>
    </row>
    <row r="88" spans="1:56" x14ac:dyDescent="0.2">
      <c r="AB88" s="308"/>
      <c r="AC88" s="308"/>
      <c r="AD88" s="308"/>
      <c r="AE88" s="308"/>
      <c r="AF88" s="308"/>
      <c r="AG88" s="308"/>
      <c r="AH88" s="308"/>
      <c r="AI88" s="308"/>
      <c r="AJ88" s="308"/>
      <c r="AK88" s="308"/>
      <c r="AL88" s="308"/>
      <c r="AM88" s="308"/>
      <c r="AN88" s="308"/>
      <c r="AO88" s="308"/>
      <c r="AP88" s="307"/>
      <c r="AQ88" s="307"/>
      <c r="AR88" s="307"/>
      <c r="AS88" s="307"/>
      <c r="AT88" s="80"/>
      <c r="AU88" s="80"/>
      <c r="AV88" s="80"/>
      <c r="AW88" s="80"/>
      <c r="AX88" s="80"/>
      <c r="AY88" s="80"/>
      <c r="AZ88" s="27"/>
      <c r="BA88" s="27"/>
      <c r="BB88" s="27"/>
      <c r="BC88" s="27"/>
      <c r="BD88" s="27"/>
    </row>
    <row r="89" spans="1:56" x14ac:dyDescent="0.2"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80"/>
      <c r="AU89" s="80"/>
      <c r="AV89" s="80"/>
      <c r="AW89" s="80"/>
      <c r="AX89" s="80"/>
      <c r="AY89" s="80"/>
      <c r="AZ89" s="27"/>
      <c r="BA89" s="27"/>
      <c r="BB89" s="27"/>
      <c r="BC89" s="27"/>
      <c r="BD89" s="27"/>
    </row>
    <row r="90" spans="1:56" x14ac:dyDescent="0.2"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80"/>
      <c r="AU90" s="80"/>
      <c r="AV90" s="80"/>
      <c r="AW90" s="80"/>
      <c r="AX90" s="80"/>
      <c r="AY90" s="80"/>
      <c r="AZ90" s="27"/>
      <c r="BA90" s="27"/>
      <c r="BB90" s="27"/>
      <c r="BC90" s="27"/>
      <c r="BD90" s="27"/>
    </row>
    <row r="91" spans="1:56" x14ac:dyDescent="0.2">
      <c r="AB91" s="307"/>
      <c r="AC91" s="307"/>
      <c r="AD91" s="307"/>
      <c r="AE91" s="307"/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  <c r="AT91" s="80"/>
      <c r="AU91" s="80"/>
      <c r="AV91" s="80"/>
      <c r="AW91" s="80"/>
      <c r="AX91" s="80"/>
      <c r="AY91" s="80"/>
      <c r="AZ91" s="27"/>
      <c r="BA91" s="27"/>
      <c r="BB91" s="27"/>
      <c r="BC91" s="27"/>
      <c r="BD91" s="27"/>
    </row>
    <row r="92" spans="1:56" x14ac:dyDescent="0.2">
      <c r="AB92" s="307"/>
      <c r="AC92" s="307"/>
      <c r="AD92" s="307"/>
      <c r="AE92" s="307"/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  <c r="AT92" s="80"/>
      <c r="AU92" s="80"/>
      <c r="AV92" s="80"/>
      <c r="AW92" s="80"/>
      <c r="AX92" s="80"/>
      <c r="AY92" s="80"/>
      <c r="AZ92" s="27"/>
      <c r="BA92" s="27"/>
      <c r="BB92" s="27"/>
      <c r="BC92" s="27"/>
      <c r="BD92" s="27"/>
    </row>
    <row r="93" spans="1:56" x14ac:dyDescent="0.2">
      <c r="AB93" s="307"/>
      <c r="AC93" s="307"/>
      <c r="AD93" s="307"/>
      <c r="AE93" s="307"/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  <c r="AT93" s="80"/>
      <c r="AU93" s="80"/>
      <c r="AV93" s="80"/>
      <c r="AW93" s="80"/>
      <c r="AX93" s="80"/>
      <c r="AY93" s="80"/>
      <c r="AZ93" s="27"/>
      <c r="BA93" s="27"/>
      <c r="BB93" s="27"/>
      <c r="BC93" s="27"/>
      <c r="BD93" s="27"/>
    </row>
    <row r="94" spans="1:56" x14ac:dyDescent="0.2"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27"/>
      <c r="BA94" s="27"/>
      <c r="BB94" s="27"/>
      <c r="BC94" s="27"/>
      <c r="BD94" s="27"/>
    </row>
    <row r="95" spans="1:56" x14ac:dyDescent="0.2"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27"/>
      <c r="BA95" s="27"/>
      <c r="BB95" s="27"/>
      <c r="BC95" s="27"/>
      <c r="BD95" s="27"/>
    </row>
    <row r="96" spans="1:56" x14ac:dyDescent="0.2"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</row>
  </sheetData>
  <mergeCells count="93">
    <mergeCell ref="R25:T25"/>
    <mergeCell ref="O25:P25"/>
    <mergeCell ref="R26:T26"/>
    <mergeCell ref="O28:P28"/>
    <mergeCell ref="R28:T28"/>
    <mergeCell ref="U37:Z37"/>
    <mergeCell ref="W38:Y38"/>
    <mergeCell ref="A45:C45"/>
    <mergeCell ref="R2:T2"/>
    <mergeCell ref="S3:S4"/>
    <mergeCell ref="H36:J36"/>
    <mergeCell ref="U25:V25"/>
    <mergeCell ref="U26:V26"/>
    <mergeCell ref="U24:Z24"/>
    <mergeCell ref="R29:T29"/>
    <mergeCell ref="D33:H33"/>
    <mergeCell ref="K30:L30"/>
    <mergeCell ref="O31:P31"/>
    <mergeCell ref="S31:T31"/>
    <mergeCell ref="O30:P30"/>
    <mergeCell ref="O26:P26"/>
    <mergeCell ref="G51:I51"/>
    <mergeCell ref="B53:C53"/>
    <mergeCell ref="N14:Q14"/>
    <mergeCell ref="N24:Q24"/>
    <mergeCell ref="K25:M25"/>
    <mergeCell ref="K26:M26"/>
    <mergeCell ref="O29:P29"/>
    <mergeCell ref="A35:C35"/>
    <mergeCell ref="E36:G36"/>
    <mergeCell ref="A41:C41"/>
    <mergeCell ref="G30:H31"/>
    <mergeCell ref="A30:B31"/>
    <mergeCell ref="K28:M28"/>
    <mergeCell ref="K16:M16"/>
    <mergeCell ref="K15:M15"/>
    <mergeCell ref="O15:P15"/>
    <mergeCell ref="B54:C54"/>
    <mergeCell ref="B55:C55"/>
    <mergeCell ref="A1:I1"/>
    <mergeCell ref="A10:B10"/>
    <mergeCell ref="T9:T10"/>
    <mergeCell ref="S9:S10"/>
    <mergeCell ref="R11:R12"/>
    <mergeCell ref="S11:S12"/>
    <mergeCell ref="T11:T12"/>
    <mergeCell ref="N1:Q1"/>
    <mergeCell ref="K11:K12"/>
    <mergeCell ref="L11:L12"/>
    <mergeCell ref="N11:N12"/>
    <mergeCell ref="M11:M12"/>
    <mergeCell ref="Q11:Q12"/>
    <mergeCell ref="O11:O12"/>
    <mergeCell ref="D6:H6"/>
    <mergeCell ref="D9:F9"/>
    <mergeCell ref="F18:H18"/>
    <mergeCell ref="F15:H15"/>
    <mergeCell ref="F16:H16"/>
    <mergeCell ref="E12:F13"/>
    <mergeCell ref="D14:F14"/>
    <mergeCell ref="D10:E10"/>
    <mergeCell ref="D11:E11"/>
    <mergeCell ref="G10:H10"/>
    <mergeCell ref="G11:H11"/>
    <mergeCell ref="F17:H17"/>
    <mergeCell ref="A15:D15"/>
    <mergeCell ref="A16:D16"/>
    <mergeCell ref="D56:G56"/>
    <mergeCell ref="A57:C57"/>
    <mergeCell ref="A60:B60"/>
    <mergeCell ref="A62:B62"/>
    <mergeCell ref="U9:Z9"/>
    <mergeCell ref="W10:Y10"/>
    <mergeCell ref="D30:E31"/>
    <mergeCell ref="D32:G32"/>
    <mergeCell ref="A33:C33"/>
    <mergeCell ref="P11:P12"/>
    <mergeCell ref="A11:B11"/>
    <mergeCell ref="A12:B13"/>
    <mergeCell ref="I12:J12"/>
    <mergeCell ref="R15:T15"/>
    <mergeCell ref="O16:P16"/>
    <mergeCell ref="R16:T16"/>
    <mergeCell ref="A64:B64"/>
    <mergeCell ref="A66:B66"/>
    <mergeCell ref="D62:F62"/>
    <mergeCell ref="D64:F64"/>
    <mergeCell ref="A74:B74"/>
    <mergeCell ref="A76:B76"/>
    <mergeCell ref="A78:B78"/>
    <mergeCell ref="A80:B80"/>
    <mergeCell ref="D78:E78"/>
    <mergeCell ref="D76:E76"/>
  </mergeCells>
  <phoneticPr fontId="14" alignment="center"/>
  <hyperlinks>
    <hyperlink ref="F3" r:id="rId1" xr:uid="{95D4F04C-FF50-3344-B178-C7E3B4AF8C8F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Soares</dc:creator>
  <cp:lastModifiedBy>daiane fernandes eugenio</cp:lastModifiedBy>
  <dcterms:created xsi:type="dcterms:W3CDTF">2025-06-18T23:10:59Z</dcterms:created>
  <dcterms:modified xsi:type="dcterms:W3CDTF">2025-08-06T22:46:03Z</dcterms:modified>
</cp:coreProperties>
</file>