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e\Documents\GitHub\Regis\Servo Motor &amp; Controller\"/>
    </mc:Choice>
  </mc:AlternateContent>
  <xr:revisionPtr revIDLastSave="0" documentId="13_ncr:1_{5D0D722E-D20E-46D3-B524-73F18F50E09B}" xr6:coauthVersionLast="47" xr6:coauthVersionMax="47" xr10:uidLastSave="{00000000-0000-0000-0000-000000000000}"/>
  <bookViews>
    <workbookView xWindow="-120" yWindow="-120" windowWidth="29040" windowHeight="15840" xr2:uid="{5E257D47-A536-43C8-B6DF-00C15C24C0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1" l="1"/>
  <c r="O30" i="1"/>
  <c r="O29" i="1"/>
  <c r="K30" i="1"/>
  <c r="K31" i="1" s="1"/>
  <c r="H29" i="1" s="1"/>
  <c r="K28" i="1"/>
  <c r="V27" i="1"/>
  <c r="V26" i="1"/>
  <c r="V25" i="1"/>
  <c r="V24" i="1"/>
  <c r="U27" i="1"/>
  <c r="U26" i="1"/>
  <c r="U25" i="1"/>
  <c r="U24" i="1"/>
  <c r="T27" i="1"/>
  <c r="T26" i="1"/>
  <c r="T25" i="1"/>
  <c r="T24" i="1"/>
  <c r="S27" i="1"/>
  <c r="S26" i="1"/>
  <c r="S25" i="1"/>
  <c r="S24" i="1"/>
  <c r="R27" i="1"/>
  <c r="R26" i="1"/>
  <c r="R25" i="1"/>
  <c r="R24" i="1"/>
  <c r="Q27" i="1"/>
  <c r="Q26" i="1"/>
  <c r="Q25" i="1"/>
  <c r="Q24" i="1"/>
  <c r="P27" i="1"/>
  <c r="P26" i="1"/>
  <c r="P25" i="1"/>
  <c r="P24" i="1"/>
  <c r="O27" i="1"/>
  <c r="O26" i="1"/>
  <c r="O25" i="1"/>
  <c r="O24" i="1"/>
  <c r="N27" i="1"/>
  <c r="N26" i="1"/>
  <c r="N25" i="1"/>
  <c r="N24" i="1"/>
  <c r="M27" i="1"/>
  <c r="M26" i="1"/>
  <c r="M25" i="1"/>
  <c r="M24" i="1"/>
  <c r="V21" i="1"/>
  <c r="V20" i="1"/>
  <c r="V19" i="1"/>
  <c r="V18" i="1"/>
  <c r="U21" i="1"/>
  <c r="U20" i="1"/>
  <c r="U19" i="1"/>
  <c r="U18" i="1"/>
  <c r="T21" i="1"/>
  <c r="T20" i="1"/>
  <c r="T19" i="1"/>
  <c r="T18" i="1"/>
  <c r="S21" i="1"/>
  <c r="S20" i="1"/>
  <c r="S19" i="1"/>
  <c r="S18" i="1"/>
  <c r="R21" i="1"/>
  <c r="R20" i="1"/>
  <c r="R19" i="1"/>
  <c r="R18" i="1"/>
  <c r="Q21" i="1"/>
  <c r="Q20" i="1"/>
  <c r="Q19" i="1"/>
  <c r="Q18" i="1"/>
  <c r="P21" i="1"/>
  <c r="P20" i="1"/>
  <c r="P19" i="1"/>
  <c r="P18" i="1"/>
  <c r="O21" i="1"/>
  <c r="O20" i="1"/>
  <c r="O19" i="1"/>
  <c r="O18" i="1"/>
  <c r="N18" i="1"/>
  <c r="N21" i="1"/>
  <c r="N20" i="1"/>
  <c r="N19" i="1"/>
  <c r="M21" i="1"/>
  <c r="M20" i="1"/>
  <c r="M19" i="1"/>
  <c r="M18" i="1"/>
  <c r="V14" i="1"/>
  <c r="V13" i="1"/>
  <c r="V12" i="1"/>
  <c r="V11" i="1"/>
  <c r="U14" i="1"/>
  <c r="U13" i="1"/>
  <c r="U12" i="1"/>
  <c r="U11" i="1"/>
  <c r="T14" i="1"/>
  <c r="T13" i="1"/>
  <c r="T12" i="1"/>
  <c r="T11" i="1"/>
  <c r="M14" i="1"/>
  <c r="M13" i="1"/>
  <c r="M12" i="1"/>
  <c r="M11" i="1"/>
  <c r="S14" i="1"/>
  <c r="S13" i="1"/>
  <c r="S12" i="1"/>
  <c r="S11" i="1"/>
  <c r="R14" i="1"/>
  <c r="R13" i="1"/>
  <c r="R12" i="1"/>
  <c r="R11" i="1"/>
  <c r="Q14" i="1"/>
  <c r="Q13" i="1"/>
  <c r="Q12" i="1"/>
  <c r="Q11" i="1"/>
  <c r="P14" i="1"/>
  <c r="P13" i="1"/>
  <c r="P12" i="1"/>
  <c r="P11" i="1"/>
  <c r="O14" i="1"/>
  <c r="O13" i="1"/>
  <c r="O12" i="1"/>
  <c r="O11" i="1"/>
  <c r="N14" i="1"/>
  <c r="N13" i="1"/>
  <c r="N12" i="1"/>
  <c r="N11" i="1"/>
  <c r="V8" i="1"/>
  <c r="V7" i="1"/>
  <c r="V6" i="1"/>
  <c r="V5" i="1"/>
  <c r="U8" i="1"/>
  <c r="U7" i="1"/>
  <c r="U6" i="1"/>
  <c r="U5" i="1"/>
  <c r="T8" i="1"/>
  <c r="T7" i="1"/>
  <c r="T6" i="1"/>
  <c r="T5" i="1"/>
  <c r="S7" i="1"/>
  <c r="S8" i="1"/>
  <c r="S6" i="1"/>
  <c r="S5" i="1"/>
  <c r="R8" i="1"/>
  <c r="R7" i="1"/>
  <c r="R6" i="1"/>
  <c r="R5" i="1"/>
  <c r="Q8" i="1"/>
  <c r="Q7" i="1"/>
  <c r="Q6" i="1"/>
  <c r="Q5" i="1"/>
  <c r="P8" i="1"/>
  <c r="P7" i="1"/>
  <c r="P6" i="1"/>
  <c r="P5" i="1"/>
  <c r="O8" i="1"/>
  <c r="O7" i="1"/>
  <c r="O6" i="1"/>
  <c r="O5" i="1"/>
  <c r="N8" i="1"/>
  <c r="N7" i="1"/>
  <c r="N6" i="1"/>
  <c r="N5" i="1"/>
  <c r="M8" i="1"/>
  <c r="M7" i="1"/>
  <c r="M6" i="1"/>
  <c r="M5" i="1"/>
  <c r="E28" i="1"/>
  <c r="B31" i="1"/>
  <c r="B30" i="1"/>
  <c r="B29" i="1"/>
  <c r="H8" i="1"/>
  <c r="H7" i="1"/>
  <c r="H6" i="1"/>
  <c r="H5" i="1"/>
  <c r="D28" i="1"/>
  <c r="D29" i="1"/>
  <c r="E29" i="1" s="1"/>
  <c r="D30" i="1"/>
  <c r="E30" i="1" s="1"/>
  <c r="D31" i="1"/>
  <c r="E31" i="1" s="1"/>
  <c r="G29" i="1" l="1"/>
  <c r="G30" i="1"/>
  <c r="G31" i="1"/>
  <c r="G28" i="1"/>
  <c r="F30" i="1"/>
  <c r="F31" i="1"/>
  <c r="F29" i="1"/>
</calcChain>
</file>

<file path=xl/sharedStrings.xml><?xml version="1.0" encoding="utf-8"?>
<sst xmlns="http://schemas.openxmlformats.org/spreadsheetml/2006/main" count="102" uniqueCount="70">
  <si>
    <t>Servo Motor Comparison Chart</t>
  </si>
  <si>
    <t>MG90S</t>
  </si>
  <si>
    <t>Servo Name</t>
  </si>
  <si>
    <t>Volts</t>
  </si>
  <si>
    <t>4.8 - 6.0</t>
  </si>
  <si>
    <t>MG996R</t>
  </si>
  <si>
    <t>"9g servo"</t>
  </si>
  <si>
    <t>Model</t>
  </si>
  <si>
    <t>"Sun Founder 20kg"</t>
  </si>
  <si>
    <t>4.8 -7.2</t>
  </si>
  <si>
    <t>DS3235</t>
  </si>
  <si>
    <t>"35kg"</t>
  </si>
  <si>
    <t>5.0 -7.4</t>
  </si>
  <si>
    <t>Idle Amps</t>
  </si>
  <si>
    <t>Rotation</t>
  </si>
  <si>
    <t>180 or 270</t>
  </si>
  <si>
    <t>SF3218MG</t>
  </si>
  <si>
    <t>Stall Amps (Max)</t>
  </si>
  <si>
    <t>Stall Amps (Min)</t>
  </si>
  <si>
    <t>Stall Torque (Min)</t>
  </si>
  <si>
    <t>Stall Torque (Max)</t>
  </si>
  <si>
    <t>Weight (grams)</t>
  </si>
  <si>
    <t>14 Servos Weight</t>
  </si>
  <si>
    <t>in pounds</t>
  </si>
  <si>
    <t>Cost</t>
  </si>
  <si>
    <t>Weight w/ Hardware</t>
  </si>
  <si>
    <t>Max Stall Tq in lbs</t>
  </si>
  <si>
    <t xml:space="preserve">Cost for 12 </t>
  </si>
  <si>
    <t>grams</t>
  </si>
  <si>
    <t>lbs</t>
  </si>
  <si>
    <t>2 cm</t>
  </si>
  <si>
    <t>3cm</t>
  </si>
  <si>
    <t>4cm</t>
  </si>
  <si>
    <t>5cm</t>
  </si>
  <si>
    <t>6cm</t>
  </si>
  <si>
    <t>7cm</t>
  </si>
  <si>
    <t>8cm</t>
  </si>
  <si>
    <t>9cm</t>
  </si>
  <si>
    <t>10cm</t>
  </si>
  <si>
    <t>11cm</t>
  </si>
  <si>
    <t>12cm</t>
  </si>
  <si>
    <t>13cm</t>
  </si>
  <si>
    <t>14cm</t>
  </si>
  <si>
    <t>15cm</t>
  </si>
  <si>
    <t>16cm</t>
  </si>
  <si>
    <t>17cm</t>
  </si>
  <si>
    <t>19cm</t>
  </si>
  <si>
    <t>20cm</t>
  </si>
  <si>
    <t>18cm</t>
  </si>
  <si>
    <t>How much can we lift?</t>
  </si>
  <si>
    <t>Derated by 20%</t>
  </si>
  <si>
    <t>Regis Version 0.0</t>
  </si>
  <si>
    <t>pounds</t>
  </si>
  <si>
    <t>Weight - Servos</t>
  </si>
  <si>
    <t>Weight Diff. lbs</t>
  </si>
  <si>
    <t>Power Consumption Of Servo Motors Graphs</t>
  </si>
  <si>
    <t>Strength to Weight of Servo Motors Graph</t>
  </si>
  <si>
    <t>Desired Max Servo Arm Length (cm)</t>
  </si>
  <si>
    <t>Robot Servo Weight Analysis</t>
  </si>
  <si>
    <t>10Ah Bat w/ Pi &amp; Hardware (lbs)</t>
  </si>
  <si>
    <t>Servos w/ Hdrwr (lbs)</t>
  </si>
  <si>
    <t>New Bot Weight</t>
  </si>
  <si>
    <t>"Tower Pro 12kg"</t>
  </si>
  <si>
    <t>V 0.0</t>
  </si>
  <si>
    <t>Coxa</t>
  </si>
  <si>
    <t>Femur</t>
  </si>
  <si>
    <t>Tarsus</t>
  </si>
  <si>
    <t>Length (cm)</t>
  </si>
  <si>
    <t>w/ 9g (lbs)</t>
  </si>
  <si>
    <t>Stall Tq in Lbs / Arm Length (90°)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</si>
</sst>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3" xfId="0" applyBorder="1"/>
    <xf numFmtId="0" fontId="0" fillId="0" borderId="4" xfId="0" applyBorder="1"/>
    <xf numFmtId="0" fontId="0" fillId="0" borderId="6" xfId="0" applyBorder="1" applyAlignment="1">
      <alignment horizontal="left"/>
    </xf>
    <xf numFmtId="2" fontId="0" fillId="0" borderId="5" xfId="0" applyNumberFormat="1" applyBorder="1"/>
    <xf numFmtId="2" fontId="0" fillId="0" borderId="0" xfId="0" applyNumberFormat="1"/>
    <xf numFmtId="2" fontId="0" fillId="0" borderId="6" xfId="0" applyNumberFormat="1" applyBorder="1"/>
    <xf numFmtId="0" fontId="0" fillId="0" borderId="5" xfId="0" applyBorder="1"/>
    <xf numFmtId="0" fontId="0" fillId="0" borderId="6" xfId="0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3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2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0" xfId="0" applyAlignment="1">
      <alignment wrapText="1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6" xfId="0" applyBorder="1"/>
    <xf numFmtId="0" fontId="0" fillId="0" borderId="2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6" xfId="0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20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3" fillId="0" borderId="27" xfId="0" applyFont="1" applyBorder="1" applyAlignment="1">
      <alignment horizontal="center"/>
    </xf>
    <xf numFmtId="0" fontId="0" fillId="0" borderId="21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Stall TQ vs Amps (Min)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Stall Amps (Min)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Sheet1!$F$5:$F$8</c:f>
              <c:numCache>
                <c:formatCode>General</c:formatCode>
                <c:ptCount val="4"/>
                <c:pt idx="0">
                  <c:v>1.8</c:v>
                </c:pt>
                <c:pt idx="1">
                  <c:v>9.4</c:v>
                </c:pt>
                <c:pt idx="2">
                  <c:v>20.5</c:v>
                </c:pt>
                <c:pt idx="3">
                  <c:v>29</c:v>
                </c:pt>
              </c:numCache>
            </c:numRef>
          </c:xVal>
          <c:yVal>
            <c:numRef>
              <c:f>Sheet1!$J$5:$J$8</c:f>
              <c:numCache>
                <c:formatCode>General</c:formatCode>
                <c:ptCount val="4"/>
                <c:pt idx="0">
                  <c:v>0.4</c:v>
                </c:pt>
                <c:pt idx="1">
                  <c:v>1.3</c:v>
                </c:pt>
                <c:pt idx="2">
                  <c:v>1.5</c:v>
                </c:pt>
                <c:pt idx="3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C-44CD-BF1B-1774AF2C2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018640"/>
        <c:axId val="775008560"/>
      </c:scatterChart>
      <c:valAx>
        <c:axId val="7750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08560"/>
        <c:crosses val="autoZero"/>
        <c:crossBetween val="midCat"/>
      </c:valAx>
      <c:valAx>
        <c:axId val="7750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Stall TQ vs Amps (Max)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Sheet1!$K$4</c:f>
              <c:strCache>
                <c:ptCount val="1"/>
                <c:pt idx="0">
                  <c:v>Stall Amps (Max)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Sheet1!$G$5:$G$8</c:f>
              <c:numCache>
                <c:formatCode>General</c:formatCode>
                <c:ptCount val="4"/>
                <c:pt idx="0">
                  <c:v>2.2000000000000002</c:v>
                </c:pt>
                <c:pt idx="1">
                  <c:v>11</c:v>
                </c:pt>
                <c:pt idx="2">
                  <c:v>22.8</c:v>
                </c:pt>
                <c:pt idx="3">
                  <c:v>35</c:v>
                </c:pt>
              </c:numCache>
            </c:numRef>
          </c:xVal>
          <c:yVal>
            <c:numRef>
              <c:f>Sheet1!$K$5:$K$8</c:f>
              <c:numCache>
                <c:formatCode>General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2.7</c:v>
                </c:pt>
                <c:pt idx="3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E-44FC-A95B-7EE1EDF73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023440"/>
        <c:axId val="775010000"/>
      </c:scatterChart>
      <c:valAx>
        <c:axId val="77502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10000"/>
        <c:crosses val="autoZero"/>
        <c:crossBetween val="midCat"/>
      </c:valAx>
      <c:valAx>
        <c:axId val="7750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2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</a:t>
            </a:r>
            <a:r>
              <a:rPr lang="en-US" baseline="0"/>
              <a:t> Max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Stall Torque (Max)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Sheet1!$D$5:$D$8</c:f>
              <c:numCache>
                <c:formatCode>General</c:formatCode>
                <c:ptCount val="4"/>
                <c:pt idx="0">
                  <c:v>13.4</c:v>
                </c:pt>
                <c:pt idx="1">
                  <c:v>55</c:v>
                </c:pt>
                <c:pt idx="2">
                  <c:v>56</c:v>
                </c:pt>
                <c:pt idx="3">
                  <c:v>60</c:v>
                </c:pt>
              </c:numCache>
            </c:numRef>
          </c:xVal>
          <c:yVal>
            <c:numRef>
              <c:f>Sheet1!$G$5:$G$8</c:f>
              <c:numCache>
                <c:formatCode>General</c:formatCode>
                <c:ptCount val="4"/>
                <c:pt idx="0">
                  <c:v>2.2000000000000002</c:v>
                </c:pt>
                <c:pt idx="1">
                  <c:v>11</c:v>
                </c:pt>
                <c:pt idx="2">
                  <c:v>22.8</c:v>
                </c:pt>
                <c:pt idx="3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4-483B-A171-8F7BABA4B9F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72134336"/>
        <c:axId val="775021040"/>
      </c:scatterChart>
      <c:valAx>
        <c:axId val="47213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21040"/>
        <c:crosses val="autoZero"/>
        <c:crossBetween val="midCat"/>
      </c:valAx>
      <c:valAx>
        <c:axId val="7750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3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9</xdr:row>
      <xdr:rowOff>47625</xdr:rowOff>
    </xdr:from>
    <xdr:to>
      <xdr:col>2</xdr:col>
      <xdr:colOff>1143000</xdr:colOff>
      <xdr:row>23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C7F432-673A-F78B-DFF0-86B878172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76201</xdr:colOff>
      <xdr:row>9</xdr:row>
      <xdr:rowOff>33337</xdr:rowOff>
    </xdr:from>
    <xdr:to>
      <xdr:col>6</xdr:col>
      <xdr:colOff>1209676</xdr:colOff>
      <xdr:row>23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1A7CAE-98F6-8CF5-2138-F8580049B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109537</xdr:colOff>
      <xdr:row>9</xdr:row>
      <xdr:rowOff>42862</xdr:rowOff>
    </xdr:from>
    <xdr:to>
      <xdr:col>11</xdr:col>
      <xdr:colOff>490537</xdr:colOff>
      <xdr:row>23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35A8DA-1051-A6B0-6224-DB6F16DD2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F2923-8F9A-46BD-90F2-7018AA204E06}">
  <dimension ref="A1:V37"/>
  <sheetViews>
    <sheetView tabSelected="1" topLeftCell="C3" workbookViewId="0">
      <selection activeCell="P34" sqref="P34"/>
    </sheetView>
  </sheetViews>
  <sheetFormatPr defaultRowHeight="15" x14ac:dyDescent="0.25"/>
  <cols>
    <col min="1" max="1" width="20" style="1" customWidth="1"/>
    <col min="2" max="2" width="28.28515625" customWidth="1"/>
    <col min="3" max="3" width="18.140625" customWidth="1"/>
    <col min="4" max="4" width="15.28515625" style="2" customWidth="1"/>
    <col min="5" max="5" width="14.7109375" style="2" customWidth="1"/>
    <col min="6" max="6" width="18.140625" style="2" customWidth="1"/>
    <col min="7" max="8" width="18.7109375" style="2" customWidth="1"/>
    <col min="9" max="9" width="11.7109375" style="2" customWidth="1"/>
    <col min="10" max="10" width="15.7109375" style="2" customWidth="1"/>
    <col min="11" max="11" width="16.7109375" style="2" customWidth="1"/>
    <col min="12" max="12" width="10.85546875" customWidth="1"/>
    <col min="13" max="13" width="14.140625" customWidth="1"/>
    <col min="14" max="14" width="12.140625" customWidth="1"/>
    <col min="15" max="15" width="13.42578125" customWidth="1"/>
    <col min="16" max="16" width="12.140625" customWidth="1"/>
    <col min="17" max="19" width="11.85546875" customWidth="1"/>
    <col min="20" max="20" width="12" customWidth="1"/>
    <col min="21" max="21" width="11.28515625" customWidth="1"/>
    <col min="22" max="22" width="10.7109375" customWidth="1"/>
  </cols>
  <sheetData>
    <row r="1" spans="1:22" x14ac:dyDescent="0.25">
      <c r="B1" s="59" t="s">
        <v>0</v>
      </c>
      <c r="C1" s="59"/>
      <c r="D1" s="59"/>
    </row>
    <row r="2" spans="1:22" ht="15.75" thickBot="1" x14ac:dyDescent="0.3">
      <c r="B2" s="60"/>
      <c r="C2" s="60"/>
      <c r="D2" s="60"/>
    </row>
    <row r="3" spans="1:22" ht="15.75" thickBot="1" x14ac:dyDescent="0.3">
      <c r="M3" s="72" t="s">
        <v>69</v>
      </c>
      <c r="N3" s="4"/>
      <c r="O3" s="68" t="s">
        <v>49</v>
      </c>
      <c r="P3" s="68"/>
      <c r="Q3" s="68"/>
      <c r="R3" s="68"/>
      <c r="S3" s="68"/>
      <c r="T3" s="68"/>
      <c r="U3" s="4"/>
      <c r="V3" s="5"/>
    </row>
    <row r="4" spans="1:22" ht="15.75" thickBot="1" x14ac:dyDescent="0.3">
      <c r="A4" s="34" t="s">
        <v>2</v>
      </c>
      <c r="B4" s="14" t="s">
        <v>7</v>
      </c>
      <c r="C4" s="14" t="s">
        <v>14</v>
      </c>
      <c r="D4" s="40" t="s">
        <v>21</v>
      </c>
      <c r="E4" s="40" t="s">
        <v>13</v>
      </c>
      <c r="F4" s="40" t="s">
        <v>19</v>
      </c>
      <c r="G4" s="40" t="s">
        <v>20</v>
      </c>
      <c r="H4" s="40" t="s">
        <v>26</v>
      </c>
      <c r="I4" s="40" t="s">
        <v>3</v>
      </c>
      <c r="J4" s="40" t="s">
        <v>18</v>
      </c>
      <c r="K4" s="41" t="s">
        <v>17</v>
      </c>
      <c r="M4" s="73"/>
      <c r="N4" s="17" t="s">
        <v>30</v>
      </c>
      <c r="O4" s="18" t="s">
        <v>31</v>
      </c>
      <c r="P4" s="18" t="s">
        <v>32</v>
      </c>
      <c r="Q4" s="18" t="s">
        <v>33</v>
      </c>
      <c r="R4" s="18" t="s">
        <v>34</v>
      </c>
      <c r="S4" s="18" t="s">
        <v>35</v>
      </c>
      <c r="T4" s="18" t="s">
        <v>36</v>
      </c>
      <c r="U4" s="18" t="s">
        <v>37</v>
      </c>
      <c r="V4" s="19" t="s">
        <v>38</v>
      </c>
    </row>
    <row r="5" spans="1:22" x14ac:dyDescent="0.25">
      <c r="A5" s="35" t="s">
        <v>6</v>
      </c>
      <c r="B5" s="1" t="s">
        <v>1</v>
      </c>
      <c r="C5" s="1">
        <v>180</v>
      </c>
      <c r="D5" s="2">
        <v>13.4</v>
      </c>
      <c r="E5" s="2">
        <v>0.01</v>
      </c>
      <c r="F5" s="2">
        <v>1.8</v>
      </c>
      <c r="G5" s="2">
        <v>2.2000000000000002</v>
      </c>
      <c r="H5" s="2">
        <f>G5*2.20462</f>
        <v>4.8501640000000004</v>
      </c>
      <c r="I5" s="2" t="s">
        <v>4</v>
      </c>
      <c r="J5" s="2">
        <v>0.4</v>
      </c>
      <c r="K5" s="6">
        <v>1</v>
      </c>
      <c r="M5" s="7">
        <f>G5*2.20462</f>
        <v>4.8501640000000004</v>
      </c>
      <c r="N5" s="8">
        <f>(G5*2.20462)/2</f>
        <v>2.4250820000000002</v>
      </c>
      <c r="O5" s="8">
        <f>(G5*2.20462)/3</f>
        <v>1.6167213333333335</v>
      </c>
      <c r="P5" s="8">
        <f>(G5*2.20462)/24</f>
        <v>0.20209016666666668</v>
      </c>
      <c r="Q5" s="8">
        <f>(G5*2.20462)/5</f>
        <v>0.97003280000000003</v>
      </c>
      <c r="R5" s="8">
        <f>(G5*2.20462)/6</f>
        <v>0.80836066666666673</v>
      </c>
      <c r="S5" s="8">
        <f>(G5*2.20462)/7</f>
        <v>0.69288057142857151</v>
      </c>
      <c r="T5" s="8">
        <f>(G5*2.20462)/8</f>
        <v>0.60627050000000005</v>
      </c>
      <c r="U5" s="8">
        <f>(G5*2.20462)/9</f>
        <v>0.53890711111111111</v>
      </c>
      <c r="V5" s="9">
        <f>(G5*2.20462)/10</f>
        <v>0.48501640000000001</v>
      </c>
    </row>
    <row r="6" spans="1:22" x14ac:dyDescent="0.25">
      <c r="A6" s="35" t="s">
        <v>62</v>
      </c>
      <c r="B6" s="1" t="s">
        <v>5</v>
      </c>
      <c r="C6" s="1">
        <v>180</v>
      </c>
      <c r="D6" s="2">
        <v>55</v>
      </c>
      <c r="E6" s="2">
        <v>0.02</v>
      </c>
      <c r="F6" s="2">
        <v>9.4</v>
      </c>
      <c r="G6" s="2">
        <v>11</v>
      </c>
      <c r="H6" s="2">
        <f>G6*2.20462</f>
        <v>24.250819999999997</v>
      </c>
      <c r="I6" s="2" t="s">
        <v>4</v>
      </c>
      <c r="J6" s="2">
        <v>1.3</v>
      </c>
      <c r="K6" s="6">
        <v>1.5</v>
      </c>
      <c r="M6" s="7">
        <f>G6*2.20462</f>
        <v>24.250819999999997</v>
      </c>
      <c r="N6" s="8">
        <f>(G6*2.20462)/2</f>
        <v>12.125409999999999</v>
      </c>
      <c r="O6" s="8">
        <f>(G6*2.20462)/3</f>
        <v>8.0836066666666664</v>
      </c>
      <c r="P6" s="8">
        <f>(G6*2.20462)/4</f>
        <v>6.0627049999999993</v>
      </c>
      <c r="Q6" s="8">
        <f>(G6*2.20462)/5</f>
        <v>4.8501639999999995</v>
      </c>
      <c r="R6" s="8">
        <f>(G6*2.20462)/6</f>
        <v>4.0418033333333332</v>
      </c>
      <c r="S6" s="8">
        <f>(G6*2.20462)/7</f>
        <v>3.4644028571428569</v>
      </c>
      <c r="T6" s="8">
        <f>(G6*2.20462)/8</f>
        <v>3.0313524999999997</v>
      </c>
      <c r="U6" s="8">
        <f>(G6*2.20462)/9</f>
        <v>2.6945355555555555</v>
      </c>
      <c r="V6" s="9">
        <f>(G6*2.20462)/10</f>
        <v>2.4250819999999997</v>
      </c>
    </row>
    <row r="7" spans="1:22" x14ac:dyDescent="0.25">
      <c r="A7" s="35" t="s">
        <v>8</v>
      </c>
      <c r="B7" s="1" t="s">
        <v>16</v>
      </c>
      <c r="C7" s="1">
        <v>270</v>
      </c>
      <c r="D7" s="2">
        <v>56</v>
      </c>
      <c r="E7" s="2">
        <v>0.05</v>
      </c>
      <c r="F7" s="2">
        <v>20.5</v>
      </c>
      <c r="G7" s="2">
        <v>22.8</v>
      </c>
      <c r="H7" s="2">
        <f>G7*2.20462</f>
        <v>50.265335999999998</v>
      </c>
      <c r="I7" s="2" t="s">
        <v>9</v>
      </c>
      <c r="J7" s="2">
        <v>1.5</v>
      </c>
      <c r="K7" s="6">
        <v>2.7</v>
      </c>
      <c r="M7" s="7">
        <f>G7*2.20462</f>
        <v>50.265335999999998</v>
      </c>
      <c r="N7" s="8">
        <f>(G7*2.20462)/2</f>
        <v>25.132667999999999</v>
      </c>
      <c r="O7" s="8">
        <f>(G7*2.20462)/3</f>
        <v>16.755112</v>
      </c>
      <c r="P7" s="8">
        <f>(G7*2.20462)/4</f>
        <v>12.566333999999999</v>
      </c>
      <c r="Q7" s="8">
        <f>(G7*2.20462)/5</f>
        <v>10.053067199999999</v>
      </c>
      <c r="R7" s="8">
        <f>(G7*2.20462)/6</f>
        <v>8.3775560000000002</v>
      </c>
      <c r="S7" s="8">
        <f>(G7*2.20462)/7</f>
        <v>7.1807622857142857</v>
      </c>
      <c r="T7" s="8">
        <f>(G7*2.20462)/8</f>
        <v>6.2831669999999997</v>
      </c>
      <c r="U7" s="8">
        <f>(G7*2.20462)/9</f>
        <v>5.5850373333333332</v>
      </c>
      <c r="V7" s="9">
        <f>(G7*2.20462)/10</f>
        <v>5.0265335999999996</v>
      </c>
    </row>
    <row r="8" spans="1:22" ht="15.75" thickBot="1" x14ac:dyDescent="0.3">
      <c r="A8" s="36" t="s">
        <v>11</v>
      </c>
      <c r="B8" s="48" t="s">
        <v>10</v>
      </c>
      <c r="C8" s="48" t="s">
        <v>15</v>
      </c>
      <c r="D8" s="44">
        <v>60</v>
      </c>
      <c r="E8" s="44">
        <v>5.0000000000000001E-3</v>
      </c>
      <c r="F8" s="44">
        <v>29</v>
      </c>
      <c r="G8" s="44">
        <v>35</v>
      </c>
      <c r="H8" s="44">
        <f>G8*2.20462</f>
        <v>77.161699999999996</v>
      </c>
      <c r="I8" s="44" t="s">
        <v>12</v>
      </c>
      <c r="J8" s="44">
        <v>1.9</v>
      </c>
      <c r="K8" s="45">
        <v>2.2999999999999998</v>
      </c>
      <c r="M8" s="7">
        <f>G8*2.20462</f>
        <v>77.161699999999996</v>
      </c>
      <c r="N8" s="8">
        <f>(G8*2.20462)/2</f>
        <v>38.580849999999998</v>
      </c>
      <c r="O8" s="8">
        <f>(G8*2.20462)/3</f>
        <v>25.720566666666667</v>
      </c>
      <c r="P8" s="8">
        <f>(G8*2.20462)/4</f>
        <v>19.290424999999999</v>
      </c>
      <c r="Q8" s="8">
        <f>(G8*2.20462)/5</f>
        <v>15.43234</v>
      </c>
      <c r="R8" s="8">
        <f>(G8*2.20462)/6</f>
        <v>12.860283333333333</v>
      </c>
      <c r="S8" s="8">
        <f>(G8*2.20462)/7</f>
        <v>11.023099999999999</v>
      </c>
      <c r="T8" s="8">
        <f>(G8*2.20462)/8</f>
        <v>9.6452124999999995</v>
      </c>
      <c r="U8" s="8">
        <f>(G8*2.20462)/9</f>
        <v>8.5735222222222216</v>
      </c>
      <c r="V8" s="9">
        <f>(G8*2.20462)/10</f>
        <v>7.71617</v>
      </c>
    </row>
    <row r="9" spans="1:22" ht="15.75" thickBot="1" x14ac:dyDescent="0.3">
      <c r="A9" s="46"/>
      <c r="B9" s="69" t="s">
        <v>55</v>
      </c>
      <c r="C9" s="69"/>
      <c r="D9" s="69"/>
      <c r="E9" s="69"/>
      <c r="F9" s="69"/>
      <c r="G9" s="47"/>
      <c r="H9" s="70" t="s">
        <v>56</v>
      </c>
      <c r="I9" s="69"/>
      <c r="J9" s="69"/>
      <c r="K9" s="69"/>
      <c r="L9" s="71"/>
      <c r="M9" s="10"/>
      <c r="V9" s="11"/>
    </row>
    <row r="10" spans="1:22" x14ac:dyDescent="0.25">
      <c r="A10" s="34"/>
      <c r="B10" s="4"/>
      <c r="C10" s="5"/>
      <c r="D10" s="39"/>
      <c r="E10" s="40"/>
      <c r="F10" s="40"/>
      <c r="G10" s="41"/>
      <c r="H10" s="39"/>
      <c r="I10" s="40"/>
      <c r="J10" s="40"/>
      <c r="K10" s="40"/>
      <c r="L10" s="5"/>
      <c r="M10" s="15" t="s">
        <v>39</v>
      </c>
      <c r="N10" s="15" t="s">
        <v>40</v>
      </c>
      <c r="O10" s="15" t="s">
        <v>41</v>
      </c>
      <c r="P10" s="15" t="s">
        <v>42</v>
      </c>
      <c r="Q10" s="15" t="s">
        <v>43</v>
      </c>
      <c r="R10" s="15" t="s">
        <v>44</v>
      </c>
      <c r="S10" s="15" t="s">
        <v>45</v>
      </c>
      <c r="T10" s="15" t="s">
        <v>48</v>
      </c>
      <c r="U10" s="15" t="s">
        <v>46</v>
      </c>
      <c r="V10" s="16" t="s">
        <v>47</v>
      </c>
    </row>
    <row r="11" spans="1:22" x14ac:dyDescent="0.25">
      <c r="A11" s="35"/>
      <c r="C11" s="11"/>
      <c r="D11" s="42"/>
      <c r="G11" s="6"/>
      <c r="H11" s="42"/>
      <c r="L11" s="11"/>
      <c r="M11" s="8">
        <f>(G5*2.20462)/11</f>
        <v>0.44092400000000004</v>
      </c>
      <c r="N11" s="8">
        <f>(G5*2.20462)/12</f>
        <v>0.40418033333333336</v>
      </c>
      <c r="O11" s="8">
        <f>(G5*2.20462)/13</f>
        <v>0.37308953846153847</v>
      </c>
      <c r="P11" s="8">
        <f>(G5*2.20462)/14</f>
        <v>0.34644028571428576</v>
      </c>
      <c r="Q11" s="8">
        <f>(G5*2.20462)/15</f>
        <v>0.32334426666666671</v>
      </c>
      <c r="R11" s="8">
        <f>(G5*2.20462)/16</f>
        <v>0.30313525000000002</v>
      </c>
      <c r="S11" s="8">
        <f>(G5*2.20462)/17</f>
        <v>0.28530376470588237</v>
      </c>
      <c r="T11" s="8">
        <f>(G5*2.20462)/18</f>
        <v>0.26945355555555556</v>
      </c>
      <c r="U11" s="8">
        <f>(G5*2.20462)/19</f>
        <v>0.25527178947368423</v>
      </c>
      <c r="V11" s="9">
        <f>(G5*2.20462)/20</f>
        <v>0.24250820000000001</v>
      </c>
    </row>
    <row r="12" spans="1:22" x14ac:dyDescent="0.25">
      <c r="A12" s="35"/>
      <c r="C12" s="11"/>
      <c r="D12" s="42"/>
      <c r="G12" s="6"/>
      <c r="H12" s="42"/>
      <c r="L12" s="11"/>
      <c r="M12" s="8">
        <f>(G6*2.20462)/11</f>
        <v>2.2046199999999998</v>
      </c>
      <c r="N12" s="8">
        <f>(G6*2.20462)/12</f>
        <v>2.0209016666666666</v>
      </c>
      <c r="O12" s="8">
        <f>(G6*2.20462)/13</f>
        <v>1.8654476923076921</v>
      </c>
      <c r="P12" s="8">
        <f>(G6*2.20462)/14</f>
        <v>1.7322014285714284</v>
      </c>
      <c r="Q12" s="8">
        <f>(G6*2.20462)/15</f>
        <v>1.6167213333333332</v>
      </c>
      <c r="R12" s="8">
        <f>(G6*2.20462)/16</f>
        <v>1.5156762499999998</v>
      </c>
      <c r="S12" s="8">
        <f>(G6*2.20462)/17</f>
        <v>1.4265188235294115</v>
      </c>
      <c r="T12" s="8">
        <f>(G6*2.20462)/18</f>
        <v>1.3472677777777777</v>
      </c>
      <c r="U12" s="8">
        <f>(G6*2.20462)/19</f>
        <v>1.2763589473684209</v>
      </c>
      <c r="V12" s="9">
        <f>(G6*2.20462)/20</f>
        <v>1.2125409999999999</v>
      </c>
    </row>
    <row r="13" spans="1:22" x14ac:dyDescent="0.25">
      <c r="A13" s="35"/>
      <c r="C13" s="11"/>
      <c r="D13" s="42"/>
      <c r="G13" s="6"/>
      <c r="H13" s="42"/>
      <c r="L13" s="11"/>
      <c r="M13" s="8">
        <f>(G7*2.20462)/11</f>
        <v>4.5695759999999996</v>
      </c>
      <c r="N13" s="8">
        <f>(G7*2.20462)/12</f>
        <v>4.1887780000000001</v>
      </c>
      <c r="O13" s="8">
        <f>(G7*2.20462)/13</f>
        <v>3.8665643076923075</v>
      </c>
      <c r="P13" s="8">
        <f>(G7*2.20462)/14</f>
        <v>3.5903811428571428</v>
      </c>
      <c r="Q13" s="8">
        <f>(G7*2.20462)/15</f>
        <v>3.3510223999999997</v>
      </c>
      <c r="R13" s="8">
        <f>(G7*2.20462)/16</f>
        <v>3.1415834999999999</v>
      </c>
      <c r="S13" s="8">
        <f>(G7*2.20462)/17</f>
        <v>2.9567844705882353</v>
      </c>
      <c r="T13" s="8">
        <f>(G7*2.20462)/18</f>
        <v>2.7925186666666666</v>
      </c>
      <c r="U13" s="8">
        <f>(G7*2.20462)/19</f>
        <v>2.6455439999999997</v>
      </c>
      <c r="V13" s="9">
        <f>(G7*2.20462)/20</f>
        <v>2.5132667999999998</v>
      </c>
    </row>
    <row r="14" spans="1:22" ht="15.75" thickBot="1" x14ac:dyDescent="0.3">
      <c r="A14" s="35"/>
      <c r="C14" s="11"/>
      <c r="D14" s="42"/>
      <c r="G14" s="6"/>
      <c r="H14" s="42"/>
      <c r="L14" s="11"/>
      <c r="M14" s="12">
        <f>(G8*2.20462)/11</f>
        <v>7.0146999999999995</v>
      </c>
      <c r="N14" s="12">
        <f>(G8*2.20462)/12</f>
        <v>6.4301416666666666</v>
      </c>
      <c r="O14" s="12">
        <f>(G8*2.20462)/13</f>
        <v>5.9355153846153845</v>
      </c>
      <c r="P14" s="12">
        <f>(G8*2.20462)/14</f>
        <v>5.5115499999999997</v>
      </c>
      <c r="Q14" s="12">
        <f>(G8*2.20462)/15</f>
        <v>5.1441133333333333</v>
      </c>
      <c r="R14" s="12">
        <f>(G8*2.20462)/16</f>
        <v>4.8226062499999998</v>
      </c>
      <c r="S14" s="12">
        <f>(G8*2.20462)/17</f>
        <v>4.5389235294117647</v>
      </c>
      <c r="T14" s="12">
        <f>(G8*2.20462)/18</f>
        <v>4.2867611111111108</v>
      </c>
      <c r="U14" s="12">
        <f>(G8*2.20462)/19</f>
        <v>4.0611421052631576</v>
      </c>
      <c r="V14" s="13">
        <f>(G8*2.20462)/20</f>
        <v>3.858085</v>
      </c>
    </row>
    <row r="15" spans="1:22" ht="15.75" thickBot="1" x14ac:dyDescent="0.3">
      <c r="A15" s="35"/>
      <c r="C15" s="11"/>
      <c r="D15" s="42"/>
      <c r="G15" s="6"/>
      <c r="H15" s="42"/>
      <c r="L15" s="11"/>
    </row>
    <row r="16" spans="1:22" x14ac:dyDescent="0.25">
      <c r="A16" s="35"/>
      <c r="C16" s="11"/>
      <c r="D16" s="42"/>
      <c r="G16" s="6"/>
      <c r="H16" s="42"/>
      <c r="L16" s="11"/>
      <c r="M16" s="74" t="s">
        <v>69</v>
      </c>
      <c r="N16" s="4"/>
      <c r="O16" s="68" t="s">
        <v>50</v>
      </c>
      <c r="P16" s="68"/>
      <c r="Q16" s="68"/>
      <c r="R16" s="68"/>
      <c r="S16" s="68"/>
      <c r="T16" s="68"/>
      <c r="U16" s="4"/>
      <c r="V16" s="5"/>
    </row>
    <row r="17" spans="1:22" ht="15.75" thickBot="1" x14ac:dyDescent="0.3">
      <c r="A17" s="35"/>
      <c r="C17" s="11"/>
      <c r="D17" s="42"/>
      <c r="G17" s="6"/>
      <c r="H17" s="42"/>
      <c r="L17" s="11"/>
      <c r="M17" s="75"/>
      <c r="N17" s="17" t="s">
        <v>30</v>
      </c>
      <c r="O17" s="18" t="s">
        <v>31</v>
      </c>
      <c r="P17" s="18" t="s">
        <v>32</v>
      </c>
      <c r="Q17" s="18" t="s">
        <v>33</v>
      </c>
      <c r="R17" s="18" t="s">
        <v>34</v>
      </c>
      <c r="S17" s="18" t="s">
        <v>35</v>
      </c>
      <c r="T17" s="18" t="s">
        <v>36</v>
      </c>
      <c r="U17" s="18" t="s">
        <v>37</v>
      </c>
      <c r="V17" s="19" t="s">
        <v>38</v>
      </c>
    </row>
    <row r="18" spans="1:22" x14ac:dyDescent="0.25">
      <c r="A18" s="35"/>
      <c r="C18" s="11"/>
      <c r="D18" s="42"/>
      <c r="G18" s="6"/>
      <c r="H18" s="42"/>
      <c r="L18" s="11"/>
      <c r="M18" s="8">
        <f t="shared" ref="M18:V18" si="0">M5 -(M5*0.2)</f>
        <v>3.8801312000000001</v>
      </c>
      <c r="N18" s="8">
        <f t="shared" si="0"/>
        <v>1.9400656000000001</v>
      </c>
      <c r="O18" s="8">
        <f t="shared" si="0"/>
        <v>1.2933770666666669</v>
      </c>
      <c r="P18" s="8">
        <f t="shared" si="0"/>
        <v>0.16167213333333336</v>
      </c>
      <c r="Q18" s="8">
        <f t="shared" si="0"/>
        <v>0.77602623999999998</v>
      </c>
      <c r="R18" s="8">
        <f t="shared" si="0"/>
        <v>0.64668853333333343</v>
      </c>
      <c r="S18" s="8">
        <f t="shared" si="0"/>
        <v>0.55430445714285725</v>
      </c>
      <c r="T18" s="8">
        <f t="shared" si="0"/>
        <v>0.48501640000000001</v>
      </c>
      <c r="U18" s="8">
        <f t="shared" si="0"/>
        <v>0.43112568888888891</v>
      </c>
      <c r="V18" s="9">
        <f t="shared" si="0"/>
        <v>0.38801311999999999</v>
      </c>
    </row>
    <row r="19" spans="1:22" x14ac:dyDescent="0.25">
      <c r="A19" s="35"/>
      <c r="C19" s="11"/>
      <c r="D19" s="42"/>
      <c r="G19" s="6"/>
      <c r="H19" s="42"/>
      <c r="L19" s="11"/>
      <c r="M19" s="8">
        <f t="shared" ref="M19:V19" si="1">M6 -(M6*0.2)</f>
        <v>19.400655999999998</v>
      </c>
      <c r="N19" s="8">
        <f t="shared" si="1"/>
        <v>9.700327999999999</v>
      </c>
      <c r="O19" s="8">
        <f t="shared" si="1"/>
        <v>6.4668853333333329</v>
      </c>
      <c r="P19" s="8">
        <f t="shared" si="1"/>
        <v>4.8501639999999995</v>
      </c>
      <c r="Q19" s="8">
        <f t="shared" si="1"/>
        <v>3.8801311999999997</v>
      </c>
      <c r="R19" s="8">
        <f t="shared" si="1"/>
        <v>3.2334426666666665</v>
      </c>
      <c r="S19" s="8">
        <f t="shared" si="1"/>
        <v>2.7715222857142856</v>
      </c>
      <c r="T19" s="8">
        <f t="shared" si="1"/>
        <v>2.4250819999999997</v>
      </c>
      <c r="U19" s="8">
        <f t="shared" si="1"/>
        <v>2.1556284444444445</v>
      </c>
      <c r="V19" s="9">
        <f t="shared" si="1"/>
        <v>1.9400655999999998</v>
      </c>
    </row>
    <row r="20" spans="1:22" x14ac:dyDescent="0.25">
      <c r="A20" s="35"/>
      <c r="C20" s="11"/>
      <c r="D20" s="42"/>
      <c r="G20" s="6"/>
      <c r="H20" s="42"/>
      <c r="L20" s="11"/>
      <c r="M20" s="8">
        <f t="shared" ref="M20:V20" si="2">M7 -(M7*0.2)</f>
        <v>40.212268799999997</v>
      </c>
      <c r="N20" s="8">
        <f t="shared" si="2"/>
        <v>20.106134399999998</v>
      </c>
      <c r="O20" s="8">
        <f t="shared" si="2"/>
        <v>13.404089600000001</v>
      </c>
      <c r="P20" s="8">
        <f t="shared" si="2"/>
        <v>10.053067199999999</v>
      </c>
      <c r="Q20" s="8">
        <f t="shared" si="2"/>
        <v>8.042453759999999</v>
      </c>
      <c r="R20" s="8">
        <f t="shared" si="2"/>
        <v>6.7020448000000004</v>
      </c>
      <c r="S20" s="8">
        <f t="shared" si="2"/>
        <v>5.7446098285714289</v>
      </c>
      <c r="T20" s="8">
        <f t="shared" si="2"/>
        <v>5.0265335999999996</v>
      </c>
      <c r="U20" s="8">
        <f t="shared" si="2"/>
        <v>4.4680298666666669</v>
      </c>
      <c r="V20" s="9">
        <f t="shared" si="2"/>
        <v>4.0212268799999995</v>
      </c>
    </row>
    <row r="21" spans="1:22" x14ac:dyDescent="0.25">
      <c r="A21" s="35"/>
      <c r="C21" s="11"/>
      <c r="D21" s="42"/>
      <c r="G21" s="6"/>
      <c r="H21" s="42"/>
      <c r="L21" s="11"/>
      <c r="M21" s="8">
        <f t="shared" ref="M21:V21" si="3">M8 -(M8*0.2)</f>
        <v>61.72936</v>
      </c>
      <c r="N21" s="8">
        <f t="shared" si="3"/>
        <v>30.86468</v>
      </c>
      <c r="O21" s="8">
        <f t="shared" si="3"/>
        <v>20.576453333333333</v>
      </c>
      <c r="P21" s="8">
        <f t="shared" si="3"/>
        <v>15.43234</v>
      </c>
      <c r="Q21" s="8">
        <f t="shared" si="3"/>
        <v>12.345872</v>
      </c>
      <c r="R21" s="8">
        <f t="shared" si="3"/>
        <v>10.288226666666667</v>
      </c>
      <c r="S21" s="8">
        <f t="shared" si="3"/>
        <v>8.8184799999999992</v>
      </c>
      <c r="T21" s="8">
        <f t="shared" si="3"/>
        <v>7.71617</v>
      </c>
      <c r="U21" s="8">
        <f t="shared" si="3"/>
        <v>6.8588177777777775</v>
      </c>
      <c r="V21" s="9">
        <f t="shared" si="3"/>
        <v>6.172936</v>
      </c>
    </row>
    <row r="22" spans="1:22" x14ac:dyDescent="0.25">
      <c r="A22" s="35"/>
      <c r="C22" s="11"/>
      <c r="D22" s="42"/>
      <c r="G22" s="6"/>
      <c r="H22" s="42"/>
      <c r="L22" s="11"/>
      <c r="V22" s="11"/>
    </row>
    <row r="23" spans="1:22" x14ac:dyDescent="0.25">
      <c r="A23" s="35"/>
      <c r="C23" s="11"/>
      <c r="D23" s="42"/>
      <c r="G23" s="6"/>
      <c r="H23" s="42"/>
      <c r="L23" s="11"/>
      <c r="M23" s="15" t="s">
        <v>39</v>
      </c>
      <c r="N23" s="15" t="s">
        <v>40</v>
      </c>
      <c r="O23" s="15" t="s">
        <v>41</v>
      </c>
      <c r="P23" s="15" t="s">
        <v>42</v>
      </c>
      <c r="Q23" s="15" t="s">
        <v>43</v>
      </c>
      <c r="R23" s="15" t="s">
        <v>44</v>
      </c>
      <c r="S23" s="15" t="s">
        <v>45</v>
      </c>
      <c r="T23" s="15" t="s">
        <v>48</v>
      </c>
      <c r="U23" s="15" t="s">
        <v>46</v>
      </c>
      <c r="V23" s="16" t="s">
        <v>47</v>
      </c>
    </row>
    <row r="24" spans="1:22" ht="15.75" thickBot="1" x14ac:dyDescent="0.3">
      <c r="A24" s="36"/>
      <c r="B24" s="37"/>
      <c r="C24" s="38"/>
      <c r="D24" s="43"/>
      <c r="E24" s="44"/>
      <c r="F24" s="44"/>
      <c r="G24" s="45"/>
      <c r="H24" s="43"/>
      <c r="I24" s="44"/>
      <c r="J24" s="44"/>
      <c r="K24" s="44"/>
      <c r="L24" s="38"/>
      <c r="M24" s="8">
        <f t="shared" ref="M24:V24" si="4">M11 -(M11*0.2)</f>
        <v>0.35273920000000003</v>
      </c>
      <c r="N24" s="8">
        <f t="shared" si="4"/>
        <v>0.32334426666666671</v>
      </c>
      <c r="O24" s="8">
        <f t="shared" si="4"/>
        <v>0.29847163076923078</v>
      </c>
      <c r="P24" s="8">
        <f t="shared" si="4"/>
        <v>0.27715222857142863</v>
      </c>
      <c r="Q24" s="8">
        <f t="shared" si="4"/>
        <v>0.25867541333333338</v>
      </c>
      <c r="R24" s="8">
        <f t="shared" si="4"/>
        <v>0.24250820000000001</v>
      </c>
      <c r="S24" s="8">
        <f t="shared" si="4"/>
        <v>0.22824301176470591</v>
      </c>
      <c r="T24" s="8">
        <f t="shared" si="4"/>
        <v>0.21556284444444446</v>
      </c>
      <c r="U24" s="8">
        <f t="shared" si="4"/>
        <v>0.20421743157894739</v>
      </c>
      <c r="V24" s="9">
        <f t="shared" si="4"/>
        <v>0.19400655999999999</v>
      </c>
    </row>
    <row r="25" spans="1:22" ht="15" customHeight="1" x14ac:dyDescent="0.25">
      <c r="B25" s="65" t="s">
        <v>58</v>
      </c>
      <c r="C25" s="65"/>
      <c r="D25" s="65"/>
      <c r="E25" s="50"/>
      <c r="F25" s="50"/>
      <c r="G25" s="51"/>
      <c r="H25" s="52" t="s">
        <v>61</v>
      </c>
      <c r="I25" s="3"/>
      <c r="K25" s="58" t="s">
        <v>51</v>
      </c>
      <c r="L25" s="2"/>
      <c r="M25" s="7">
        <f t="shared" ref="M25:V25" si="5">M12 -(M12*0.2)</f>
        <v>1.7636959999999999</v>
      </c>
      <c r="N25" s="8">
        <f t="shared" si="5"/>
        <v>1.6167213333333332</v>
      </c>
      <c r="O25" s="8">
        <f t="shared" si="5"/>
        <v>1.4923581538461537</v>
      </c>
      <c r="P25" s="8">
        <f t="shared" si="5"/>
        <v>1.3857611428571428</v>
      </c>
      <c r="Q25" s="8">
        <f t="shared" si="5"/>
        <v>1.2933770666666666</v>
      </c>
      <c r="R25" s="8">
        <f t="shared" si="5"/>
        <v>1.2125409999999999</v>
      </c>
      <c r="S25" s="8">
        <f t="shared" si="5"/>
        <v>1.1412150588235292</v>
      </c>
      <c r="T25" s="8">
        <f t="shared" si="5"/>
        <v>1.0778142222222222</v>
      </c>
      <c r="U25" s="8">
        <f t="shared" si="5"/>
        <v>1.0210871578947367</v>
      </c>
      <c r="V25" s="9">
        <f t="shared" si="5"/>
        <v>0.97003279999999992</v>
      </c>
    </row>
    <row r="26" spans="1:22" ht="6.75" hidden="1" customHeight="1" thickBot="1" x14ac:dyDescent="0.25">
      <c r="A26" s="25"/>
      <c r="B26" s="61" t="s">
        <v>58</v>
      </c>
      <c r="C26" s="62"/>
      <c r="D26" s="30" t="s">
        <v>22</v>
      </c>
      <c r="E26" s="30" t="s">
        <v>23</v>
      </c>
      <c r="F26" s="30" t="s">
        <v>54</v>
      </c>
      <c r="G26" s="31" t="s">
        <v>25</v>
      </c>
      <c r="H26" s="63" t="s">
        <v>59</v>
      </c>
      <c r="I26" s="3"/>
      <c r="J26" s="1"/>
      <c r="K26" s="57" t="s">
        <v>51</v>
      </c>
      <c r="L26" s="21"/>
      <c r="M26" s="7">
        <f t="shared" ref="M26:V26" si="6">M13 -(M13*0.2)</f>
        <v>3.6556607999999997</v>
      </c>
      <c r="N26" s="8">
        <f t="shared" si="6"/>
        <v>3.3510224000000002</v>
      </c>
      <c r="O26" s="8">
        <f t="shared" si="6"/>
        <v>3.0932514461538458</v>
      </c>
      <c r="P26" s="8">
        <f t="shared" si="6"/>
        <v>2.8723049142857144</v>
      </c>
      <c r="Q26" s="8">
        <f t="shared" si="6"/>
        <v>2.68081792</v>
      </c>
      <c r="R26" s="8">
        <f t="shared" si="6"/>
        <v>2.5132667999999998</v>
      </c>
      <c r="S26" s="8">
        <f t="shared" si="6"/>
        <v>2.3654275764705881</v>
      </c>
      <c r="T26" s="8">
        <f t="shared" si="6"/>
        <v>2.2340149333333335</v>
      </c>
      <c r="U26" s="8">
        <f t="shared" si="6"/>
        <v>2.1164351999999997</v>
      </c>
      <c r="V26" s="9">
        <f t="shared" si="6"/>
        <v>2.0106134399999998</v>
      </c>
    </row>
    <row r="27" spans="1:22" ht="15.75" thickBot="1" x14ac:dyDescent="0.3">
      <c r="A27" s="25" t="s">
        <v>24</v>
      </c>
      <c r="B27" s="26" t="s">
        <v>27</v>
      </c>
      <c r="C27" s="1" t="s">
        <v>7</v>
      </c>
      <c r="D27" s="1" t="s">
        <v>28</v>
      </c>
      <c r="E27" s="1" t="s">
        <v>29</v>
      </c>
      <c r="F27" s="1" t="s">
        <v>54</v>
      </c>
      <c r="G27" s="27" t="s">
        <v>60</v>
      </c>
      <c r="H27" s="63"/>
      <c r="I27" s="3"/>
      <c r="J27" s="1"/>
      <c r="K27" s="53">
        <v>692</v>
      </c>
      <c r="L27" s="21" t="s">
        <v>28</v>
      </c>
      <c r="M27" s="12">
        <f t="shared" ref="M27:V27" si="7">M14 -(M14*0.2)</f>
        <v>5.6117599999999994</v>
      </c>
      <c r="N27" s="12">
        <f t="shared" si="7"/>
        <v>5.1441133333333333</v>
      </c>
      <c r="O27" s="12">
        <f t="shared" si="7"/>
        <v>4.7484123076923073</v>
      </c>
      <c r="P27" s="12">
        <f t="shared" si="7"/>
        <v>4.4092399999999996</v>
      </c>
      <c r="Q27" s="12">
        <f t="shared" si="7"/>
        <v>4.1152906666666667</v>
      </c>
      <c r="R27" s="12">
        <f t="shared" si="7"/>
        <v>3.858085</v>
      </c>
      <c r="S27" s="12">
        <f t="shared" si="7"/>
        <v>3.6311388235294118</v>
      </c>
      <c r="T27" s="12">
        <f t="shared" si="7"/>
        <v>3.4294088888888887</v>
      </c>
      <c r="U27" s="12">
        <f t="shared" si="7"/>
        <v>3.248913684210526</v>
      </c>
      <c r="V27" s="13">
        <f t="shared" si="7"/>
        <v>3.086468</v>
      </c>
    </row>
    <row r="28" spans="1:22" x14ac:dyDescent="0.25">
      <c r="A28" s="28"/>
      <c r="B28" s="32"/>
      <c r="C28" s="1" t="s">
        <v>1</v>
      </c>
      <c r="D28" s="1">
        <f>14*D5</f>
        <v>187.6</v>
      </c>
      <c r="E28" s="1">
        <f>D28*0.0022</f>
        <v>0.41272000000000003</v>
      </c>
      <c r="F28" s="1"/>
      <c r="G28" s="27">
        <f>E28+H29</f>
        <v>5.6106592000000006</v>
      </c>
      <c r="H28" s="64"/>
      <c r="I28" s="1"/>
      <c r="J28" s="1"/>
      <c r="K28" s="54">
        <f>K27*0.0022</f>
        <v>1.5224000000000002</v>
      </c>
      <c r="L28" s="22" t="s">
        <v>52</v>
      </c>
      <c r="M28" t="s">
        <v>63</v>
      </c>
      <c r="N28" t="s">
        <v>67</v>
      </c>
      <c r="O28" t="s">
        <v>68</v>
      </c>
    </row>
    <row r="29" spans="1:22" x14ac:dyDescent="0.25">
      <c r="A29" s="28">
        <v>4.66</v>
      </c>
      <c r="B29" s="32">
        <f>A29*12</f>
        <v>55.92</v>
      </c>
      <c r="C29" s="1" t="s">
        <v>5</v>
      </c>
      <c r="D29" s="1">
        <f>14*D6</f>
        <v>770</v>
      </c>
      <c r="E29" s="1">
        <f>D29*0.0022</f>
        <v>1.6940000000000002</v>
      </c>
      <c r="F29" s="1">
        <f>E29-E28</f>
        <v>1.2812800000000002</v>
      </c>
      <c r="G29" s="27">
        <f>E29+H29</f>
        <v>6.8919392000000004</v>
      </c>
      <c r="H29" s="27">
        <f>(3+(K31+K31*0.2)+(3+(K31+K31*0.2))*0.2)</f>
        <v>5.1979392000000004</v>
      </c>
      <c r="I29" s="1"/>
      <c r="J29" s="1"/>
      <c r="K29" s="55" t="s">
        <v>53</v>
      </c>
      <c r="L29" s="22"/>
      <c r="M29" t="s">
        <v>64</v>
      </c>
      <c r="N29">
        <v>2.2999999999999998</v>
      </c>
      <c r="O29">
        <f>(G5*2.20462)/N29</f>
        <v>2.1087669565217393</v>
      </c>
    </row>
    <row r="30" spans="1:22" x14ac:dyDescent="0.25">
      <c r="A30" s="28">
        <v>15</v>
      </c>
      <c r="B30" s="32">
        <f>A30*12</f>
        <v>180</v>
      </c>
      <c r="C30" s="1" t="s">
        <v>16</v>
      </c>
      <c r="D30" s="1">
        <f>14*D7</f>
        <v>784</v>
      </c>
      <c r="E30" s="1">
        <f>D30*0.0022</f>
        <v>1.7248000000000001</v>
      </c>
      <c r="F30" s="1">
        <f>E30-E29</f>
        <v>3.0799999999999939E-2</v>
      </c>
      <c r="G30" s="1">
        <f>E30+H29</f>
        <v>6.9227392000000005</v>
      </c>
      <c r="H30" s="66" t="s">
        <v>57</v>
      </c>
      <c r="I30" s="26"/>
      <c r="J30" s="1"/>
      <c r="K30" s="55">
        <f>K27-D28</f>
        <v>504.4</v>
      </c>
      <c r="L30" s="22" t="s">
        <v>28</v>
      </c>
      <c r="M30" t="s">
        <v>65</v>
      </c>
      <c r="N30">
        <v>3.1</v>
      </c>
      <c r="O30">
        <f>(G5*2.20462)/N30</f>
        <v>1.5645690322580645</v>
      </c>
    </row>
    <row r="31" spans="1:22" x14ac:dyDescent="0.25">
      <c r="A31" s="29">
        <v>30</v>
      </c>
      <c r="B31" s="33">
        <f>A31*12</f>
        <v>360</v>
      </c>
      <c r="C31" s="20" t="s">
        <v>10</v>
      </c>
      <c r="D31" s="20">
        <f>14*D8</f>
        <v>840</v>
      </c>
      <c r="E31" s="20">
        <f>D31*0.0022</f>
        <v>1.8480000000000001</v>
      </c>
      <c r="F31" s="20">
        <f>E31-E30</f>
        <v>0.12319999999999998</v>
      </c>
      <c r="G31" s="20">
        <f>E31+H29</f>
        <v>7.0459392000000003</v>
      </c>
      <c r="H31" s="67"/>
      <c r="I31" s="24">
        <v>15</v>
      </c>
      <c r="J31" s="1"/>
      <c r="K31" s="56">
        <f>K30*0.0022</f>
        <v>1.10968</v>
      </c>
      <c r="L31" s="23" t="s">
        <v>52</v>
      </c>
      <c r="M31" t="s">
        <v>66</v>
      </c>
      <c r="N31">
        <v>9</v>
      </c>
      <c r="O31">
        <f>(G5*2.20462)/N31</f>
        <v>0.53890711111111111</v>
      </c>
    </row>
    <row r="34" spans="10:10" x14ac:dyDescent="0.25">
      <c r="J34" s="49"/>
    </row>
    <row r="35" spans="10:10" x14ac:dyDescent="0.25">
      <c r="J35" s="49"/>
    </row>
    <row r="36" spans="10:10" x14ac:dyDescent="0.25">
      <c r="J36" s="49"/>
    </row>
    <row r="37" spans="10:10" x14ac:dyDescent="0.25">
      <c r="J37" s="1"/>
    </row>
  </sheetData>
  <mergeCells count="11">
    <mergeCell ref="H30:H31"/>
    <mergeCell ref="O3:T3"/>
    <mergeCell ref="M16:M17"/>
    <mergeCell ref="O16:T16"/>
    <mergeCell ref="B9:F9"/>
    <mergeCell ref="H9:L9"/>
    <mergeCell ref="B1:D2"/>
    <mergeCell ref="B26:C26"/>
    <mergeCell ref="M3:M4"/>
    <mergeCell ref="H26:H28"/>
    <mergeCell ref="B25:D25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Mikolaichik</dc:creator>
  <cp:lastModifiedBy>Kenneth Mikolaichik</cp:lastModifiedBy>
  <dcterms:created xsi:type="dcterms:W3CDTF">2023-05-10T13:20:42Z</dcterms:created>
  <dcterms:modified xsi:type="dcterms:W3CDTF">2023-05-13T22:59:20Z</dcterms:modified>
</cp:coreProperties>
</file>