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tyc\Documents\NUS\Teaching\Customer Analytics\MTech\Day 2\"/>
    </mc:Choice>
  </mc:AlternateContent>
  <bookViews>
    <workbookView xWindow="0" yWindow="0" windowWidth="19200" windowHeight="7050" activeTab="2"/>
  </bookViews>
  <sheets>
    <sheet name="Day2-CLV Simple" sheetId="1" r:id="rId1"/>
    <sheet name="PV discounting" sheetId="10" r:id="rId2"/>
    <sheet name="CLV Complex" sheetId="8" r:id="rId3"/>
    <sheet name="NegBino" sheetId="7" r:id="rId4"/>
    <sheet name="Loyalty" sheetId="6" r:id="rId5"/>
    <sheet name="Latency" sheetId="3" r:id="rId6"/>
    <sheet name="RFM I" sheetId="2" r:id="rId7"/>
    <sheet name="RFM II" sheetId="4" r:id="rId8"/>
    <sheet name="RFM Lifecycle" sheetId="5" state="hidden" r:id="rId9"/>
    <sheet name="Differential Pricing" sheetId="9" state="hidden" r:id="rId10"/>
  </sheets>
  <definedNames>
    <definedName name="_xlnm._FilterDatabase" localSheetId="6" hidden="1">'RFM I'!$A$2:$G$102</definedName>
  </definedNames>
  <calcPr calcId="162913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D8" i="4"/>
  <c r="E9" i="8"/>
  <c r="E6" i="8"/>
  <c r="D8" i="8"/>
  <c r="C6" i="8"/>
  <c r="D6" i="8"/>
  <c r="F6" i="8"/>
  <c r="F2" i="8"/>
  <c r="K3" i="8"/>
  <c r="E12" i="1"/>
  <c r="E7" i="7"/>
  <c r="C4" i="8"/>
  <c r="D4" i="8"/>
  <c r="C5" i="8"/>
  <c r="D5" i="8"/>
  <c r="E4" i="8"/>
  <c r="G6" i="8"/>
  <c r="E5" i="8"/>
  <c r="F5" i="8"/>
  <c r="C5" i="10"/>
  <c r="C6" i="10"/>
  <c r="C7" i="10"/>
  <c r="C4" i="10"/>
  <c r="B5" i="10"/>
  <c r="D5" i="10"/>
  <c r="B6" i="10"/>
  <c r="D6" i="10"/>
  <c r="B7" i="10"/>
  <c r="D7" i="10"/>
  <c r="B4" i="10"/>
  <c r="D4" i="10"/>
  <c r="E5" i="1"/>
  <c r="E6" i="1"/>
  <c r="E7" i="1"/>
  <c r="E9" i="1"/>
  <c r="E11" i="1"/>
  <c r="C17" i="1"/>
  <c r="D17" i="1"/>
  <c r="E17" i="1"/>
  <c r="C18" i="1"/>
  <c r="D18" i="1"/>
  <c r="E18" i="1"/>
  <c r="E16" i="1"/>
  <c r="C6" i="1"/>
  <c r="C7" i="1"/>
  <c r="D6" i="1"/>
  <c r="D7" i="1"/>
  <c r="D5" i="1"/>
  <c r="F8" i="8"/>
  <c r="C21" i="8"/>
  <c r="D21" i="8"/>
  <c r="E21" i="8"/>
  <c r="C22" i="8"/>
  <c r="D22" i="8"/>
  <c r="C23" i="8"/>
  <c r="D23" i="8"/>
  <c r="D26" i="8"/>
  <c r="E22" i="8"/>
  <c r="F22" i="8"/>
  <c r="E23" i="8"/>
  <c r="F23" i="8"/>
  <c r="C24" i="8"/>
  <c r="D24" i="8"/>
  <c r="E24" i="8"/>
  <c r="F24" i="8"/>
  <c r="K20" i="8"/>
  <c r="K19" i="8"/>
  <c r="E8" i="8"/>
  <c r="D25" i="4"/>
  <c r="D26" i="4"/>
  <c r="D27" i="4"/>
  <c r="D28" i="4"/>
  <c r="D29" i="4"/>
  <c r="D24" i="4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4" i="7"/>
  <c r="K7" i="8"/>
  <c r="K8" i="8"/>
  <c r="K9" i="8"/>
  <c r="K10" i="8"/>
  <c r="K11" i="8"/>
  <c r="K12" i="8"/>
  <c r="K13" i="8"/>
  <c r="K14" i="8"/>
  <c r="K15" i="8"/>
  <c r="K16" i="8"/>
  <c r="K17" i="8"/>
  <c r="K18" i="8"/>
  <c r="K6" i="8"/>
  <c r="M6" i="8"/>
  <c r="L16" i="7"/>
  <c r="C23" i="7"/>
  <c r="E4" i="7"/>
  <c r="D16" i="1"/>
  <c r="D9" i="8"/>
  <c r="B3" i="6"/>
  <c r="C3" i="6"/>
  <c r="D3" i="6"/>
  <c r="B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D4" i="6"/>
  <c r="B5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D11" i="8"/>
  <c r="G5" i="6"/>
  <c r="G4" i="6"/>
  <c r="G3" i="6"/>
  <c r="G10" i="6"/>
  <c r="G11" i="6"/>
  <c r="G12" i="6"/>
  <c r="J4" i="2"/>
  <c r="K4" i="2"/>
  <c r="F4" i="2"/>
  <c r="L4" i="2"/>
  <c r="G4" i="2"/>
  <c r="J5" i="2"/>
  <c r="K5" i="2"/>
  <c r="L5" i="2"/>
  <c r="G89" i="2"/>
  <c r="G6" i="2"/>
  <c r="J6" i="2"/>
  <c r="K6" i="2"/>
  <c r="L6" i="2"/>
  <c r="G16" i="2"/>
  <c r="G7" i="2"/>
  <c r="J7" i="2"/>
  <c r="K7" i="2"/>
  <c r="L7" i="2"/>
  <c r="G8" i="2"/>
  <c r="G9" i="2"/>
  <c r="G10" i="2"/>
  <c r="G11" i="2"/>
  <c r="G14" i="2"/>
  <c r="G15" i="2"/>
  <c r="G21" i="2"/>
  <c r="G29" i="2"/>
  <c r="G30" i="2"/>
  <c r="G33" i="2"/>
  <c r="G39" i="2"/>
  <c r="G46" i="2"/>
  <c r="G50" i="2"/>
  <c r="G55" i="2"/>
  <c r="G59" i="2"/>
  <c r="G60" i="2"/>
  <c r="G72" i="2"/>
  <c r="G76" i="2"/>
  <c r="G78" i="2"/>
  <c r="G84" i="2"/>
  <c r="G86" i="2"/>
  <c r="F95" i="2"/>
  <c r="F91" i="2"/>
  <c r="F83" i="2"/>
  <c r="F62" i="2"/>
  <c r="F58" i="2"/>
  <c r="F54" i="2"/>
  <c r="G40" i="2"/>
  <c r="F34" i="2"/>
  <c r="F29" i="2"/>
  <c r="F22" i="2"/>
  <c r="F18" i="2"/>
  <c r="F14" i="2"/>
  <c r="F10" i="2"/>
  <c r="F8" i="2"/>
  <c r="F94" i="2"/>
  <c r="F90" i="2"/>
  <c r="F82" i="2"/>
  <c r="F78" i="2"/>
  <c r="F71" i="2"/>
  <c r="F56" i="2"/>
  <c r="F53" i="2"/>
  <c r="F46" i="2"/>
  <c r="F27" i="2"/>
  <c r="F7" i="2"/>
  <c r="F100" i="2"/>
  <c r="F93" i="2"/>
  <c r="F88" i="2"/>
  <c r="F84" i="2"/>
  <c r="F81" i="2"/>
  <c r="F66" i="2"/>
  <c r="F51" i="2"/>
  <c r="F42" i="2"/>
  <c r="F39" i="2"/>
  <c r="F24" i="2"/>
  <c r="F20" i="2"/>
  <c r="F15" i="2"/>
  <c r="F11" i="2"/>
  <c r="F9" i="2"/>
  <c r="F96" i="2"/>
  <c r="F92" i="2"/>
  <c r="F87" i="2"/>
  <c r="G83" i="2"/>
  <c r="F79" i="2"/>
  <c r="F75" i="2"/>
  <c r="F63" i="2"/>
  <c r="F59" i="2"/>
  <c r="F55" i="2"/>
  <c r="F41" i="2"/>
  <c r="F35" i="2"/>
  <c r="F23" i="2"/>
  <c r="F19" i="2"/>
  <c r="F67" i="2"/>
  <c r="F31" i="2"/>
  <c r="G99" i="2"/>
  <c r="G51" i="2"/>
  <c r="F99" i="2"/>
  <c r="F70" i="2"/>
  <c r="F47" i="2"/>
  <c r="F38" i="2"/>
  <c r="F26" i="2"/>
  <c r="F102" i="2"/>
  <c r="F98" i="2"/>
  <c r="F86" i="2"/>
  <c r="F74" i="2"/>
  <c r="F50" i="2"/>
  <c r="F43" i="2"/>
  <c r="F30" i="2"/>
  <c r="F6" i="2"/>
  <c r="F5" i="2"/>
  <c r="G52" i="2"/>
  <c r="G35" i="2"/>
  <c r="G47" i="2"/>
  <c r="G27" i="2"/>
  <c r="G56" i="2"/>
  <c r="G96" i="2"/>
  <c r="G79" i="2"/>
  <c r="G71" i="2"/>
  <c r="G91" i="2"/>
  <c r="G64" i="2"/>
  <c r="G101" i="2"/>
  <c r="G87" i="2"/>
  <c r="G63" i="2"/>
  <c r="F12" i="2"/>
  <c r="E97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1" i="2"/>
  <c r="E15" i="2"/>
  <c r="E19" i="2"/>
  <c r="E23" i="2"/>
  <c r="E27" i="2"/>
  <c r="E31" i="2"/>
  <c r="E35" i="2"/>
  <c r="E39" i="2"/>
  <c r="E43" i="2"/>
  <c r="E47" i="2"/>
  <c r="E55" i="2"/>
  <c r="E59" i="2"/>
  <c r="E67" i="2"/>
  <c r="E75" i="2"/>
  <c r="E83" i="2"/>
  <c r="E91" i="2"/>
  <c r="E99" i="2"/>
  <c r="E4" i="2"/>
  <c r="E12" i="2"/>
  <c r="E16" i="2"/>
  <c r="E20" i="2"/>
  <c r="E28" i="2"/>
  <c r="E36" i="2"/>
  <c r="E44" i="2"/>
  <c r="E52" i="2"/>
  <c r="E60" i="2"/>
  <c r="E68" i="2"/>
  <c r="E76" i="2"/>
  <c r="E84" i="2"/>
  <c r="E92" i="2"/>
  <c r="E100" i="2"/>
  <c r="E5" i="2"/>
  <c r="E13" i="2"/>
  <c r="E21" i="2"/>
  <c r="E29" i="2"/>
  <c r="E37" i="2"/>
  <c r="E45" i="2"/>
  <c r="E53" i="2"/>
  <c r="E61" i="2"/>
  <c r="E73" i="2"/>
  <c r="E81" i="2"/>
  <c r="E89" i="2"/>
  <c r="E101" i="2"/>
  <c r="E7" i="2"/>
  <c r="E51" i="2"/>
  <c r="E63" i="2"/>
  <c r="E71" i="2"/>
  <c r="E79" i="2"/>
  <c r="E87" i="2"/>
  <c r="E95" i="2"/>
  <c r="E3" i="2"/>
  <c r="E8" i="2"/>
  <c r="E24" i="2"/>
  <c r="E32" i="2"/>
  <c r="E40" i="2"/>
  <c r="E48" i="2"/>
  <c r="E56" i="2"/>
  <c r="E64" i="2"/>
  <c r="E72" i="2"/>
  <c r="E80" i="2"/>
  <c r="E88" i="2"/>
  <c r="E96" i="2"/>
  <c r="E9" i="2"/>
  <c r="E17" i="2"/>
  <c r="E25" i="2"/>
  <c r="E33" i="2"/>
  <c r="E41" i="2"/>
  <c r="E49" i="2"/>
  <c r="E57" i="2"/>
  <c r="E65" i="2"/>
  <c r="E69" i="2"/>
  <c r="E77" i="2"/>
  <c r="E85" i="2"/>
  <c r="E93" i="2"/>
  <c r="G13" i="2"/>
  <c r="G17" i="2"/>
  <c r="G37" i="2"/>
  <c r="G41" i="2"/>
  <c r="G45" i="2"/>
  <c r="G49" i="2"/>
  <c r="G53" i="2"/>
  <c r="G57" i="2"/>
  <c r="G69" i="2"/>
  <c r="G77" i="2"/>
  <c r="G81" i="2"/>
  <c r="G85" i="2"/>
  <c r="G18" i="2"/>
  <c r="G22" i="2"/>
  <c r="G26" i="2"/>
  <c r="G34" i="2"/>
  <c r="G38" i="2"/>
  <c r="G42" i="2"/>
  <c r="G54" i="2"/>
  <c r="G58" i="2"/>
  <c r="G62" i="2"/>
  <c r="G66" i="2"/>
  <c r="G70" i="2"/>
  <c r="G74" i="2"/>
  <c r="G82" i="2"/>
  <c r="G90" i="2"/>
  <c r="G94" i="2"/>
  <c r="G98" i="2"/>
  <c r="G102" i="2"/>
  <c r="G25" i="2"/>
  <c r="G61" i="2"/>
  <c r="G65" i="2"/>
  <c r="G73" i="2"/>
  <c r="G97" i="2"/>
  <c r="G95" i="2"/>
  <c r="G92" i="2"/>
  <c r="G68" i="2"/>
  <c r="G44" i="2"/>
  <c r="G32" i="2"/>
  <c r="G24" i="2"/>
  <c r="G20" i="2"/>
  <c r="G100" i="2"/>
  <c r="G93" i="2"/>
  <c r="G88" i="2"/>
  <c r="G80" i="2"/>
  <c r="G75" i="2"/>
  <c r="G67" i="2"/>
  <c r="G48" i="2"/>
  <c r="G43" i="2"/>
  <c r="G36" i="2"/>
  <c r="G31" i="2"/>
  <c r="G28" i="2"/>
  <c r="G23" i="2"/>
  <c r="G19" i="2"/>
  <c r="G12" i="2"/>
  <c r="F80" i="2"/>
  <c r="F76" i="2"/>
  <c r="F68" i="2"/>
  <c r="F52" i="2"/>
  <c r="F48" i="2"/>
  <c r="F44" i="2"/>
  <c r="F40" i="2"/>
  <c r="F36" i="2"/>
  <c r="F32" i="2"/>
  <c r="F16" i="2"/>
  <c r="F101" i="2"/>
  <c r="F97" i="2"/>
  <c r="F89" i="2"/>
  <c r="F85" i="2"/>
  <c r="F77" i="2"/>
  <c r="F73" i="2"/>
  <c r="F69" i="2"/>
  <c r="F65" i="2"/>
  <c r="F61" i="2"/>
  <c r="F57" i="2"/>
  <c r="F49" i="2"/>
  <c r="F45" i="2"/>
  <c r="F37" i="2"/>
  <c r="F33" i="2"/>
  <c r="F25" i="2"/>
  <c r="F21" i="2"/>
  <c r="F17" i="2"/>
  <c r="F13" i="2"/>
  <c r="G5" i="2"/>
  <c r="G3" i="2"/>
  <c r="F3" i="2"/>
  <c r="F72" i="2"/>
  <c r="F64" i="2"/>
  <c r="F60" i="2"/>
  <c r="F28" i="2"/>
  <c r="C38" i="3"/>
  <c r="D38" i="3"/>
  <c r="E38" i="3"/>
  <c r="F38" i="3"/>
  <c r="C39" i="3"/>
  <c r="D39" i="3"/>
  <c r="E31" i="3"/>
  <c r="E39" i="3"/>
  <c r="F39" i="3"/>
  <c r="C40" i="3"/>
  <c r="D40" i="3"/>
  <c r="E32" i="3"/>
  <c r="E40" i="3"/>
  <c r="F40" i="3"/>
  <c r="B39" i="3"/>
  <c r="B40" i="3"/>
  <c r="B38" i="3"/>
  <c r="B20" i="4"/>
  <c r="D20" i="4"/>
  <c r="D19" i="4"/>
  <c r="D18" i="4"/>
  <c r="D17" i="4"/>
  <c r="D16" i="4"/>
  <c r="D15" i="4"/>
  <c r="D4" i="4"/>
  <c r="D5" i="4"/>
  <c r="D6" i="4"/>
  <c r="D7" i="4"/>
  <c r="D3" i="4"/>
  <c r="C10" i="4"/>
  <c r="B10" i="4"/>
  <c r="C11" i="4"/>
  <c r="B15" i="3"/>
  <c r="C15" i="3"/>
  <c r="D15" i="3"/>
  <c r="E15" i="3"/>
  <c r="F15" i="3"/>
  <c r="B16" i="3"/>
  <c r="C16" i="3"/>
  <c r="D16" i="3"/>
  <c r="E16" i="3"/>
  <c r="E29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D30" i="3"/>
  <c r="E22" i="3"/>
  <c r="F22" i="3"/>
  <c r="B23" i="3"/>
  <c r="C23" i="3"/>
  <c r="D23" i="3"/>
  <c r="E23" i="3"/>
  <c r="F23" i="3"/>
  <c r="B24" i="3"/>
  <c r="C24" i="3"/>
  <c r="D24" i="3"/>
  <c r="E24" i="3"/>
  <c r="F24" i="3"/>
  <c r="D29" i="3"/>
  <c r="C29" i="3"/>
  <c r="C32" i="3"/>
  <c r="F29" i="3"/>
  <c r="B29" i="3"/>
  <c r="D32" i="3"/>
  <c r="D31" i="3"/>
  <c r="C30" i="3"/>
  <c r="C31" i="3"/>
  <c r="F30" i="3"/>
  <c r="F31" i="3"/>
  <c r="B30" i="3"/>
  <c r="B31" i="3"/>
  <c r="B32" i="3"/>
  <c r="F32" i="3"/>
  <c r="C16" i="1"/>
  <c r="C5" i="1"/>
  <c r="E20" i="1"/>
  <c r="E22" i="1"/>
  <c r="E23" i="1"/>
</calcChain>
</file>

<file path=xl/comments1.xml><?xml version="1.0" encoding="utf-8"?>
<comments xmlns="http://schemas.openxmlformats.org/spreadsheetml/2006/main">
  <authors>
    <author>Eric Tham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No of churn in period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cumulative hazard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instantaneous hazard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This refers to cumulative transaction by a customer.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=(500-B6)/(B5-B6)*A5+(B5-500)/(B5-B6)*A6
Interpolate for 500
Note the year starts from zero.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It is possible for hazard rate&gt;1. This means in that year, the customer is likely not to survive more than 1 year.</t>
        </r>
      </text>
    </comment>
  </commentList>
</comments>
</file>

<file path=xl/comments2.xml><?xml version="1.0" encoding="utf-8"?>
<comments xmlns="http://schemas.openxmlformats.org/spreadsheetml/2006/main">
  <authors>
    <author>Eric Tham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in this case this is just the instantaneous hazard rate</t>
        </r>
      </text>
    </comment>
  </commentList>
</comments>
</file>

<file path=xl/comments3.xml><?xml version="1.0" encoding="utf-8"?>
<comments xmlns="http://schemas.openxmlformats.org/spreadsheetml/2006/main">
  <authors>
    <author>Eric Tham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No of days since last transaction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 of visits over the last month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Total amount spent by customer</t>
        </r>
      </text>
    </comment>
  </commentList>
</comments>
</file>

<file path=xl/sharedStrings.xml><?xml version="1.0" encoding="utf-8"?>
<sst xmlns="http://schemas.openxmlformats.org/spreadsheetml/2006/main" count="202" uniqueCount="140">
  <si>
    <t>No. Of buyers =</t>
  </si>
  <si>
    <t>Retention rate =</t>
  </si>
  <si>
    <t>Average annual spend =</t>
  </si>
  <si>
    <t>Profit  =</t>
  </si>
  <si>
    <t>Discount rate =</t>
  </si>
  <si>
    <t>Year</t>
  </si>
  <si>
    <t>Number of Customers</t>
  </si>
  <si>
    <t>FREQUENT BUYERS</t>
  </si>
  <si>
    <t>Annual profit</t>
  </si>
  <si>
    <t xml:space="preserve">Discounted annual profit </t>
  </si>
  <si>
    <t>OCCASIONAL BUYERS</t>
  </si>
  <si>
    <t xml:space="preserve">Total profit = </t>
  </si>
  <si>
    <t>Profit minus -acquisition costs  =</t>
  </si>
  <si>
    <t>Acquisition cost =</t>
  </si>
  <si>
    <t>CLV (per customer) =</t>
  </si>
  <si>
    <t>Average response rate =</t>
  </si>
  <si>
    <t>Sum =</t>
  </si>
  <si>
    <t>Total</t>
  </si>
  <si>
    <t>5+</t>
  </si>
  <si>
    <t>Response Rate</t>
  </si>
  <si>
    <t>Number Responding</t>
  </si>
  <si>
    <t>Number Mailed</t>
  </si>
  <si>
    <t>Total Number of Purchases</t>
  </si>
  <si>
    <t>M</t>
  </si>
  <si>
    <t>F</t>
  </si>
  <si>
    <t>R</t>
  </si>
  <si>
    <t>Interval between Event 5 and 6</t>
  </si>
  <si>
    <t>Interval between Event 4 and 5</t>
  </si>
  <si>
    <t>Interval between Event 3 and 4</t>
  </si>
  <si>
    <t>Interval between Event 2 and 3</t>
  </si>
  <si>
    <t>Interval between Event 1 and 2</t>
  </si>
  <si>
    <t>Customer</t>
  </si>
  <si>
    <t>Average</t>
  </si>
  <si>
    <t>day  of sixth event</t>
  </si>
  <si>
    <t>day of fith event</t>
  </si>
  <si>
    <t>day of fourth  event</t>
  </si>
  <si>
    <t>day of third event</t>
  </si>
  <si>
    <t>day  of second event</t>
  </si>
  <si>
    <t>day of first event</t>
  </si>
  <si>
    <t>RFM Table</t>
  </si>
  <si>
    <t>1st quartile</t>
  </si>
  <si>
    <t>2nd quartile</t>
  </si>
  <si>
    <t>3rd quartile</t>
  </si>
  <si>
    <t>4th quartile</t>
  </si>
  <si>
    <t>Quartile R</t>
  </si>
  <si>
    <t>Quartile F</t>
  </si>
  <si>
    <t>Quartile M</t>
  </si>
  <si>
    <t>ID</t>
  </si>
  <si>
    <t>Analysing Frequency</t>
  </si>
  <si>
    <t>Most Recent</t>
  </si>
  <si>
    <t>0-3 Months</t>
  </si>
  <si>
    <t>4-6 Months</t>
  </si>
  <si>
    <t>7-9 Months</t>
  </si>
  <si>
    <t>10-12 Months</t>
  </si>
  <si>
    <t>13+ Months</t>
  </si>
  <si>
    <t>Analysing Recency</t>
  </si>
  <si>
    <t>Stage 2</t>
  </si>
  <si>
    <t>Stage 3</t>
  </si>
  <si>
    <t>Stage 4</t>
  </si>
  <si>
    <t>Stage 1</t>
  </si>
  <si>
    <t>Stdev</t>
  </si>
  <si>
    <t>Avg+2*stdev</t>
  </si>
  <si>
    <t>Avg-2*Stdev</t>
  </si>
  <si>
    <t>Customer 11</t>
  </si>
  <si>
    <t>Customer 12</t>
  </si>
  <si>
    <t>MoE</t>
  </si>
  <si>
    <t>Var(NPS)</t>
  </si>
  <si>
    <t>NPS</t>
  </si>
  <si>
    <t>#T</t>
  </si>
  <si>
    <t>#P</t>
  </si>
  <si>
    <t>#N</t>
  </si>
  <si>
    <t>#D</t>
  </si>
  <si>
    <t>Responders</t>
  </si>
  <si>
    <t>Negative binomial distribution</t>
  </si>
  <si>
    <t>x</t>
  </si>
  <si>
    <t>]</t>
  </si>
  <si>
    <t>repetition</t>
  </si>
  <si>
    <t>increment</t>
  </si>
  <si>
    <t>(number of failures before k successes)</t>
  </si>
  <si>
    <t>[ initial percentile</t>
  </si>
  <si>
    <t>0≦p≦1</t>
  </si>
  <si>
    <t>probability of success p</t>
  </si>
  <si>
    <t>k=1,2,...</t>
  </si>
  <si>
    <t>number of successes k</t>
  </si>
  <si>
    <t>upper cumulative distribution Q</t>
  </si>
  <si>
    <t>lower cumulative distribution P</t>
  </si>
  <si>
    <t>probability mass f</t>
  </si>
  <si>
    <t>select function</t>
  </si>
  <si>
    <t>Txn amt</t>
  </si>
  <si>
    <t>http://keisan.casio.com/exec/system/1180573211</t>
  </si>
  <si>
    <t>Mean survival time of a customer</t>
  </si>
  <si>
    <t>h(z)=-log S(t)</t>
  </si>
  <si>
    <t>1-di/ni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</si>
  <si>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</si>
  <si>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No of Customers</t>
  </si>
  <si>
    <t>Time</t>
  </si>
  <si>
    <t>Cumulative hazard</t>
  </si>
  <si>
    <t>hazard λ</t>
  </si>
  <si>
    <t>% change in price change</t>
  </si>
  <si>
    <t>% change in goods sold</t>
  </si>
  <si>
    <t>Qty sold</t>
  </si>
  <si>
    <t>y=-5x + 8</t>
  </si>
  <si>
    <t>B</t>
  </si>
  <si>
    <t>A</t>
  </si>
  <si>
    <t>y=-3x + 5</t>
  </si>
  <si>
    <t>Supply</t>
  </si>
  <si>
    <t>Demand</t>
  </si>
  <si>
    <t>Price</t>
  </si>
  <si>
    <t>Kaplan-Meier Estimator</t>
  </si>
  <si>
    <t>CLV Simple Illustration</t>
  </si>
  <si>
    <r>
      <t>S</t>
    </r>
    <r>
      <rPr>
        <vertAlign val="subscript"/>
        <sz val="11"/>
        <color theme="1"/>
        <rFont val="Calibri"/>
        <family val="2"/>
        <scheme val="minor"/>
      </rPr>
      <t>3</t>
    </r>
  </si>
  <si>
    <t xml:space="preserve">3 yr Survival Rate, </t>
  </si>
  <si>
    <t>Customer Group 1</t>
  </si>
  <si>
    <t>Customer Group 2</t>
  </si>
  <si>
    <t>CLI Score</t>
  </si>
  <si>
    <t xml:space="preserve">The CLI is taken as average of the 3 questions. </t>
  </si>
  <si>
    <t>Tampines Grand Hotel</t>
  </si>
  <si>
    <t>Group 1 has higher chance of survival and is more loyal as compared to Group 2.</t>
  </si>
  <si>
    <t>Menti.com 760317</t>
  </si>
  <si>
    <t>CLV</t>
  </si>
  <si>
    <t>Poisson Lambda</t>
  </si>
  <si>
    <t>Negative Binomial Distribution</t>
  </si>
  <si>
    <t>Txn</t>
  </si>
  <si>
    <t>Prob</t>
  </si>
  <si>
    <t>NBD Prob of churn</t>
  </si>
  <si>
    <t>Lifetime Purchases</t>
  </si>
  <si>
    <t>$500+</t>
  </si>
  <si>
    <t>$300 - $499</t>
  </si>
  <si>
    <t>$200 - $299</t>
  </si>
  <si>
    <t>$100 - $199</t>
  </si>
  <si>
    <t>$1 - $99</t>
  </si>
  <si>
    <t>Analysing Monetary</t>
  </si>
  <si>
    <t>Customer Latency on Touchpoints</t>
  </si>
  <si>
    <t>h(z)=-ln S(t)</t>
  </si>
  <si>
    <t xml:space="preserve">4 yr Survival Rate, </t>
  </si>
  <si>
    <t>Present Value</t>
  </si>
  <si>
    <t>Rate</t>
  </si>
  <si>
    <t>Discount factor</t>
  </si>
  <si>
    <t>PV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</si>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</sst>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0.000"/>
    <numFmt numFmtId="167" formatCode="0.0000"/>
    <numFmt numFmtId="169" formatCode="_-* #,##0.000_-;\-* #,##0.000_-;_-* &quot;-&quot;??_-;_-@_-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FFFF"/>
      <name val="Times New Roman"/>
      <family val="1"/>
    </font>
    <font>
      <b/>
      <sz val="12"/>
      <color rgb="FFFFFFFF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color rgb="FF0000FF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EDCE1"/>
        <bgColor indexed="64"/>
      </patternFill>
    </fill>
    <fill>
      <patternFill patternType="solid">
        <fgColor rgb="FF3891A7"/>
        <bgColor indexed="64"/>
      </patternFill>
    </fill>
    <fill>
      <patternFill patternType="solid">
        <fgColor rgb="FFE8EEF1"/>
        <bgColor indexed="64"/>
      </patternFill>
    </fill>
    <fill>
      <patternFill patternType="solid">
        <fgColor rgb="FFEDF1FF"/>
        <bgColor indexed="64"/>
      </patternFill>
    </fill>
    <fill>
      <patternFill patternType="solid">
        <fgColor rgb="FFD9E1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/>
    <xf numFmtId="6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5" borderId="3" xfId="0" applyFont="1" applyFill="1" applyBorder="1" applyAlignment="1">
      <alignment horizontal="left" vertical="center" wrapText="1" readingOrder="1"/>
    </xf>
    <xf numFmtId="0" fontId="3" fillId="6" borderId="3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 readingOrder="1"/>
    </xf>
    <xf numFmtId="0" fontId="7" fillId="0" borderId="1" xfId="0" applyFont="1" applyBorder="1"/>
    <xf numFmtId="0" fontId="5" fillId="0" borderId="1" xfId="0" applyFont="1" applyBorder="1"/>
    <xf numFmtId="1" fontId="3" fillId="6" borderId="4" xfId="0" applyNumberFormat="1" applyFont="1" applyFill="1" applyBorder="1" applyAlignment="1">
      <alignment horizontal="center" vertical="center" wrapText="1" readingOrder="1"/>
    </xf>
    <xf numFmtId="1" fontId="3" fillId="5" borderId="3" xfId="0" applyNumberFormat="1" applyFont="1" applyFill="1" applyBorder="1" applyAlignment="1">
      <alignment horizontal="center" vertical="center" wrapText="1" readingOrder="1"/>
    </xf>
    <xf numFmtId="1" fontId="3" fillId="6" borderId="3" xfId="0" applyNumberFormat="1" applyFont="1" applyFill="1" applyBorder="1" applyAlignment="1">
      <alignment horizontal="center" vertical="center" wrapText="1" readingOrder="1"/>
    </xf>
    <xf numFmtId="0" fontId="8" fillId="8" borderId="0" xfId="0" applyFont="1" applyFill="1" applyAlignment="1">
      <alignment horizontal="center"/>
    </xf>
    <xf numFmtId="0" fontId="11" fillId="3" borderId="6" xfId="0" applyFont="1" applyFill="1" applyBorder="1" applyAlignment="1">
      <alignment horizontal="left" vertical="center" wrapText="1" readingOrder="1"/>
    </xf>
    <xf numFmtId="1" fontId="0" fillId="0" borderId="0" xfId="0" applyNumberFormat="1"/>
    <xf numFmtId="9" fontId="3" fillId="6" borderId="4" xfId="2" applyFont="1" applyFill="1" applyBorder="1" applyAlignment="1">
      <alignment horizontal="center" vertical="center" wrapText="1" readingOrder="1"/>
    </xf>
    <xf numFmtId="0" fontId="6" fillId="0" borderId="0" xfId="0" applyFont="1"/>
    <xf numFmtId="0" fontId="12" fillId="3" borderId="7" xfId="0" applyFont="1" applyFill="1" applyBorder="1" applyAlignment="1">
      <alignment horizontal="left" vertical="center" wrapText="1" readingOrder="1"/>
    </xf>
    <xf numFmtId="0" fontId="13" fillId="2" borderId="5" xfId="0" applyFont="1" applyFill="1" applyBorder="1" applyAlignment="1">
      <alignment horizontal="left" vertical="center" wrapText="1" readingOrder="1"/>
    </xf>
    <xf numFmtId="0" fontId="13" fillId="4" borderId="2" xfId="0" applyFont="1" applyFill="1" applyBorder="1" applyAlignment="1">
      <alignment horizontal="left" vertical="center" wrapText="1" readingOrder="1"/>
    </xf>
    <xf numFmtId="0" fontId="13" fillId="2" borderId="2" xfId="0" applyFont="1" applyFill="1" applyBorder="1" applyAlignment="1">
      <alignment horizontal="left" vertical="center" wrapText="1" readingOrder="1"/>
    </xf>
    <xf numFmtId="9" fontId="0" fillId="0" borderId="0" xfId="0" applyNumberFormat="1"/>
    <xf numFmtId="0" fontId="15" fillId="7" borderId="0" xfId="0" applyFont="1" applyFill="1" applyBorder="1"/>
    <xf numFmtId="0" fontId="14" fillId="10" borderId="8" xfId="0" applyFont="1" applyFill="1" applyBorder="1"/>
    <xf numFmtId="0" fontId="14" fillId="8" borderId="10" xfId="0" applyFont="1" applyFill="1" applyBorder="1"/>
    <xf numFmtId="0" fontId="14" fillId="9" borderId="9" xfId="0" applyFont="1" applyFill="1" applyBorder="1"/>
    <xf numFmtId="165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0" xfId="0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11" borderId="13" xfId="0" applyFill="1" applyBorder="1"/>
    <xf numFmtId="0" fontId="0" fillId="11" borderId="15" xfId="0" applyFill="1" applyBorder="1"/>
    <xf numFmtId="0" fontId="0" fillId="11" borderId="14" xfId="0" applyFill="1" applyBorder="1"/>
    <xf numFmtId="0" fontId="16" fillId="0" borderId="0" xfId="0" applyFont="1" applyAlignment="1">
      <alignment vertical="center"/>
    </xf>
    <xf numFmtId="11" fontId="17" fillId="12" borderId="16" xfId="0" applyNumberFormat="1" applyFont="1" applyFill="1" applyBorder="1" applyAlignment="1">
      <alignment horizontal="right" vertical="top"/>
    </xf>
    <xf numFmtId="0" fontId="17" fillId="12" borderId="17" xfId="0" applyFont="1" applyFill="1" applyBorder="1" applyAlignment="1">
      <alignment horizontal="right" vertical="top"/>
    </xf>
    <xf numFmtId="0" fontId="17" fillId="12" borderId="16" xfId="0" applyFont="1" applyFill="1" applyBorder="1" applyAlignment="1">
      <alignment horizontal="right" vertical="top"/>
    </xf>
    <xf numFmtId="0" fontId="18" fillId="13" borderId="18" xfId="0" applyFont="1" applyFill="1" applyBorder="1" applyAlignment="1">
      <alignment horizontal="center" vertical="top"/>
    </xf>
    <xf numFmtId="0" fontId="18" fillId="13" borderId="19" xfId="0" applyFont="1" applyFill="1" applyBorder="1" applyAlignment="1">
      <alignment horizontal="center" vertical="top"/>
    </xf>
    <xf numFmtId="0" fontId="21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2"/>
    </xf>
    <xf numFmtId="11" fontId="0" fillId="0" borderId="0" xfId="0" applyNumberFormat="1"/>
    <xf numFmtId="0" fontId="19" fillId="0" borderId="0" xfId="0" applyFont="1" applyAlignment="1">
      <alignment vertical="center"/>
    </xf>
    <xf numFmtId="0" fontId="6" fillId="0" borderId="0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8" xfId="0" applyFont="1" applyBorder="1"/>
    <xf numFmtId="0" fontId="6" fillId="0" borderId="0" xfId="0" applyFont="1" applyAlignment="1">
      <alignment horizontal="left" vertical="top" wrapText="1"/>
    </xf>
    <xf numFmtId="166" fontId="0" fillId="11" borderId="1" xfId="0" applyNumberFormat="1" applyFill="1" applyBorder="1"/>
    <xf numFmtId="166" fontId="0" fillId="0" borderId="1" xfId="0" applyNumberFormat="1" applyBorder="1"/>
    <xf numFmtId="0" fontId="0" fillId="0" borderId="21" xfId="0" applyBorder="1"/>
    <xf numFmtId="0" fontId="6" fillId="11" borderId="1" xfId="0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0" fontId="6" fillId="0" borderId="0" xfId="0" applyFont="1" applyAlignment="1">
      <alignment vertical="top" wrapText="1"/>
    </xf>
    <xf numFmtId="167" fontId="0" fillId="0" borderId="1" xfId="0" applyNumberFormat="1" applyBorder="1"/>
    <xf numFmtId="0" fontId="23" fillId="11" borderId="1" xfId="0" applyFont="1" applyFill="1" applyBorder="1"/>
    <xf numFmtId="0" fontId="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0" xfId="0" applyFont="1"/>
    <xf numFmtId="0" fontId="6" fillId="0" borderId="1" xfId="0" applyFont="1" applyBorder="1" applyAlignment="1">
      <alignment horizontal="center"/>
    </xf>
    <xf numFmtId="0" fontId="25" fillId="0" borderId="0" xfId="0" applyFont="1"/>
    <xf numFmtId="43" fontId="0" fillId="0" borderId="0" xfId="1" applyFont="1"/>
    <xf numFmtId="0" fontId="27" fillId="0" borderId="0" xfId="3"/>
    <xf numFmtId="0" fontId="0" fillId="14" borderId="0" xfId="0" applyFill="1"/>
    <xf numFmtId="166" fontId="0" fillId="15" borderId="1" xfId="0" applyNumberFormat="1" applyFill="1" applyBorder="1"/>
    <xf numFmtId="167" fontId="0" fillId="0" borderId="0" xfId="0" applyNumberFormat="1"/>
    <xf numFmtId="8" fontId="0" fillId="14" borderId="1" xfId="0" applyNumberFormat="1" applyFill="1" applyBorder="1" applyAlignment="1">
      <alignment horizontal="center"/>
    </xf>
    <xf numFmtId="44" fontId="0" fillId="0" borderId="1" xfId="4" applyFont="1" applyBorder="1"/>
    <xf numFmtId="0" fontId="23" fillId="11" borderId="0" xfId="0" applyFont="1" applyFill="1" applyBorder="1"/>
    <xf numFmtId="167" fontId="0" fillId="0" borderId="0" xfId="0" applyNumberFormat="1" applyBorder="1"/>
    <xf numFmtId="166" fontId="0" fillId="14" borderId="0" xfId="0" applyNumberFormat="1" applyFill="1"/>
    <xf numFmtId="0" fontId="6" fillId="16" borderId="0" xfId="0" applyFont="1" applyFill="1"/>
    <xf numFmtId="43" fontId="0" fillId="14" borderId="0" xfId="1" applyFont="1" applyFill="1"/>
    <xf numFmtId="0" fontId="0" fillId="17" borderId="0" xfId="0" applyFill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169" fontId="0" fillId="0" borderId="0" xfId="1" applyNumberFormat="1" applyFont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Distribution of customer</a:t>
            </a:r>
            <a:r>
              <a:rPr lang="en-SG" baseline="0"/>
              <a:t> churn times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'CLV Complex'!$J$6:$J$18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'CLV Complex'!$K$6:$K$18</c:f>
              <c:numCache>
                <c:formatCode>_-* #,##0.000_-;\-* #,##0.000_-;_-* "-"??_-;_-@_-</c:formatCode>
                <c:ptCount val="13"/>
                <c:pt idx="0">
                  <c:v>1.9935955312203438E-2</c:v>
                </c:pt>
                <c:pt idx="1">
                  <c:v>7.8053857851641775E-2</c:v>
                </c:pt>
                <c:pt idx="2">
                  <c:v>0.15279941768817429</c:v>
                </c:pt>
                <c:pt idx="3">
                  <c:v>0.19941497395488492</c:v>
                </c:pt>
                <c:pt idx="4">
                  <c:v>0.19518889096119127</c:v>
                </c:pt>
                <c:pt idx="5">
                  <c:v>0.15284189506562995</c:v>
                </c:pt>
                <c:pt idx="6">
                  <c:v>9.9735205097207416E-2</c:v>
                </c:pt>
                <c:pt idx="7">
                  <c:v>5.5783757820986525E-2</c:v>
                </c:pt>
                <c:pt idx="8">
                  <c:v>2.7300782902063801E-2</c:v>
                </c:pt>
                <c:pt idx="9">
                  <c:v>1.1876539395530182E-2</c:v>
                </c:pt>
                <c:pt idx="10">
                  <c:v>4.6499387826209855E-3</c:v>
                </c:pt>
                <c:pt idx="11">
                  <c:v>1.6550528706627593E-3</c:v>
                </c:pt>
                <c:pt idx="12">
                  <c:v>5.3999277302663911E-4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F-4DF6-A6CB-0839D7B71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6432"/>
        <c:axId val="546568400"/>
      </c:scatterChart>
      <c:valAx>
        <c:axId val="54656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68400"/>
        <c:crosses val="autoZero"/>
        <c:crossBetween val="midCat"/>
      </c:valAx>
      <c:valAx>
        <c:axId val="5465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Intervals between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Latency!$B$15:$G$15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4-4B53-8CD3-FEBEA5DFCC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Latency!$B$16:$G$16</c:f>
              <c:numCache>
                <c:formatCode>General</c:formatCode>
                <c:ptCount val="6"/>
                <c:pt idx="0">
                  <c:v>6</c:v>
                </c:pt>
                <c:pt idx="1">
                  <c:v>25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4-4B53-8CD3-FEBEA5DFCC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Latency!$B$17:$G$17</c:f>
              <c:numCache>
                <c:formatCode>General</c:formatCode>
                <c:ptCount val="6"/>
                <c:pt idx="0">
                  <c:v>4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4-4B53-8CD3-FEBEA5DFCC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Latency!$B$18:$G$18</c:f>
              <c:numCache>
                <c:formatCode>General</c:formatCode>
                <c:ptCount val="6"/>
                <c:pt idx="0">
                  <c:v>9</c:v>
                </c:pt>
                <c:pt idx="1">
                  <c:v>22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4-4B53-8CD3-FEBEA5DFCC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Latency!$B$19:$G$19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16</c:v>
                </c:pt>
                <c:pt idx="3">
                  <c:v>23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14-4B53-8CD3-FEBEA5DFCC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Latency!$B$20:$G$20</c:f>
              <c:numCache>
                <c:formatCode>General</c:formatCode>
                <c:ptCount val="6"/>
                <c:pt idx="0">
                  <c:v>8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14-4B53-8CD3-FEBEA5DFCC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Latency!$B$21:$G$21</c:f>
              <c:numCache>
                <c:formatCode>General</c:formatCode>
                <c:ptCount val="6"/>
                <c:pt idx="0">
                  <c:v>12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14-4B53-8CD3-FEBEA5DFCC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Latency!$B$22:$G$22</c:f>
              <c:numCache>
                <c:formatCode>General</c:formatCode>
                <c:ptCount val="6"/>
                <c:pt idx="0">
                  <c:v>7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14-4B53-8CD3-FEBEA5DFCCB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Latency!$B$23:$G$23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4-4B53-8CD3-FEBEA5DFCCB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Latency!$B$14:$G$14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xVal>
          <c:yVal>
            <c:numRef>
              <c:f>Latency!$B$24:$G$24</c:f>
              <c:numCache>
                <c:formatCode>General</c:formatCode>
                <c:ptCount val="6"/>
                <c:pt idx="0">
                  <c:v>7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14-4B53-8CD3-FEBEA5D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27408"/>
        <c:axId val="592324128"/>
      </c:scatterChart>
      <c:valAx>
        <c:axId val="5923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4128"/>
        <c:crosses val="autoZero"/>
        <c:crossBetween val="midCat"/>
      </c:valAx>
      <c:valAx>
        <c:axId val="5923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9E-2"/>
          <c:y val="0.12092033459846294"/>
          <c:w val="0.90286351706036749"/>
          <c:h val="0.6590241507581337"/>
        </c:manualLayout>
      </c:layout>
      <c:lineChart>
        <c:grouping val="standard"/>
        <c:varyColors val="0"/>
        <c:ser>
          <c:idx val="0"/>
          <c:order val="0"/>
          <c:tx>
            <c:strRef>
              <c:f>Latency!$A$29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Latency!$B$28:$F$28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cat>
          <c:val>
            <c:numRef>
              <c:f>Latency!$B$29:$F$29</c:f>
              <c:numCache>
                <c:formatCode>General</c:formatCode>
                <c:ptCount val="5"/>
                <c:pt idx="0">
                  <c:v>7.7</c:v>
                </c:pt>
                <c:pt idx="1">
                  <c:v>21.2</c:v>
                </c:pt>
                <c:pt idx="2">
                  <c:v>19.5</c:v>
                </c:pt>
                <c:pt idx="3">
                  <c:v>21.6</c:v>
                </c:pt>
                <c:pt idx="4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E-4890-ABAA-FC07FFCB0A3D}"/>
            </c:ext>
          </c:extLst>
        </c:ser>
        <c:ser>
          <c:idx val="1"/>
          <c:order val="1"/>
          <c:tx>
            <c:v>Upper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EBE-4890-ABAA-FC07FFCB0A3D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BE-4890-ABAA-FC07FFCB0A3D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BE-4890-ABAA-FC07FFCB0A3D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prstDash val="sysDash"/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BE-4890-ABAA-FC07FFCB0A3D}"/>
              </c:ext>
            </c:extLst>
          </c:dPt>
          <c:val>
            <c:numRef>
              <c:f>Latency!$B$31:$F$31</c:f>
              <c:numCache>
                <c:formatCode>_-* #,##0_-;\-* #,##0_-;_-* "-"??_-;_-@_-</c:formatCode>
                <c:ptCount val="5"/>
                <c:pt idx="0">
                  <c:v>12.127188724235733</c:v>
                </c:pt>
                <c:pt idx="1">
                  <c:v>25.988875998951475</c:v>
                </c:pt>
                <c:pt idx="2">
                  <c:v>23.415780041490244</c:v>
                </c:pt>
                <c:pt idx="3">
                  <c:v>25.6</c:v>
                </c:pt>
                <c:pt idx="4">
                  <c:v>26.059026084010437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E-4890-ABAA-FC07FFCB0A3D}"/>
            </c:ext>
          </c:extLst>
        </c:ser>
        <c:ser>
          <c:idx val="2"/>
          <c:order val="2"/>
          <c:tx>
            <c:v>lower error</c:v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  <a:round/>
              </a:ln>
              <a:effectLst/>
            </c:spPr>
          </c:marker>
          <c:val>
            <c:numRef>
              <c:f>Latency!$B$32:$F$32</c:f>
              <c:numCache>
                <c:formatCode>_-* #,##0_-;\-* #,##0_-;_-* "-"??_-;_-@_-</c:formatCode>
                <c:ptCount val="5"/>
                <c:pt idx="0">
                  <c:v>3.2728112757642682</c:v>
                </c:pt>
                <c:pt idx="1">
                  <c:v>16.411124001048524</c:v>
                </c:pt>
                <c:pt idx="2">
                  <c:v>15.584219958509756</c:v>
                </c:pt>
                <c:pt idx="3">
                  <c:v>17.600000000000001</c:v>
                </c:pt>
                <c:pt idx="4">
                  <c:v>18.940973915989563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E-4890-ABAA-FC07FFCB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42168"/>
        <c:axId val="592315272"/>
      </c:lineChart>
      <c:catAx>
        <c:axId val="5923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5272"/>
        <c:crosses val="autoZero"/>
        <c:auto val="1"/>
        <c:lblAlgn val="ctr"/>
        <c:lblOffset val="100"/>
        <c:noMultiLvlLbl val="0"/>
      </c:catAx>
      <c:valAx>
        <c:axId val="592315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Comparing new Customer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97452524316814E-2"/>
          <c:y val="0.11262809917355372"/>
          <c:w val="0.88144326076887436"/>
          <c:h val="0.73131619704561723"/>
        </c:manualLayout>
      </c:layout>
      <c:lineChart>
        <c:grouping val="standard"/>
        <c:varyColors val="0"/>
        <c:ser>
          <c:idx val="0"/>
          <c:order val="0"/>
          <c:tx>
            <c:v>Average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Latency!$B$36:$F$36</c:f>
              <c:strCache>
                <c:ptCount val="5"/>
                <c:pt idx="0">
                  <c:v>Interval between Event 1 and 2</c:v>
                </c:pt>
                <c:pt idx="1">
                  <c:v>Interval between Event 2 and 3</c:v>
                </c:pt>
                <c:pt idx="2">
                  <c:v>Interval between Event 3 and 4</c:v>
                </c:pt>
                <c:pt idx="3">
                  <c:v>Interval between Event 4 and 5</c:v>
                </c:pt>
                <c:pt idx="4">
                  <c:v>Interval between Event 5 and 6</c:v>
                </c:pt>
              </c:strCache>
            </c:strRef>
          </c:cat>
          <c:val>
            <c:numRef>
              <c:f>Latency!$B$37:$F$37</c:f>
              <c:numCache>
                <c:formatCode>General</c:formatCode>
                <c:ptCount val="5"/>
                <c:pt idx="0">
                  <c:v>7.7</c:v>
                </c:pt>
                <c:pt idx="1">
                  <c:v>21.2</c:v>
                </c:pt>
                <c:pt idx="2">
                  <c:v>19.5</c:v>
                </c:pt>
                <c:pt idx="3">
                  <c:v>21.6</c:v>
                </c:pt>
                <c:pt idx="4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B-40D0-84DE-4A8AE7AFE7D8}"/>
            </c:ext>
          </c:extLst>
        </c:ser>
        <c:ser>
          <c:idx val="1"/>
          <c:order val="1"/>
          <c:tx>
            <c:strRef>
              <c:f>Latency!$A$41</c:f>
              <c:strCache>
                <c:ptCount val="1"/>
                <c:pt idx="0">
                  <c:v>Customer 11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Latency!$B$41:$F$41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15</c:v>
                </c:pt>
                <c:pt idx="3">
                  <c:v>24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B-40D0-84DE-4A8AE7AFE7D8}"/>
            </c:ext>
          </c:extLst>
        </c:ser>
        <c:ser>
          <c:idx val="2"/>
          <c:order val="2"/>
          <c:tx>
            <c:strRef>
              <c:f>Latency!$A$42</c:f>
              <c:strCache>
                <c:ptCount val="1"/>
                <c:pt idx="0">
                  <c:v>Customer 12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Latency!$B$42:$F$42</c:f>
              <c:numCache>
                <c:formatCode>General</c:formatCode>
                <c:ptCount val="5"/>
                <c:pt idx="0">
                  <c:v>4</c:v>
                </c:pt>
                <c:pt idx="1">
                  <c:v>19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B-40D0-84DE-4A8AE7AFE7D8}"/>
            </c:ext>
          </c:extLst>
        </c:ser>
        <c:ser>
          <c:idx val="3"/>
          <c:order val="3"/>
          <c:tx>
            <c:strRef>
              <c:f>Latency!$A$39</c:f>
              <c:strCache>
                <c:ptCount val="1"/>
                <c:pt idx="0">
                  <c:v>Avg+2*stdev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Latency!$B$39:$F$39</c:f>
              <c:numCache>
                <c:formatCode>0</c:formatCode>
                <c:ptCount val="5"/>
                <c:pt idx="0">
                  <c:v>12.127188724235733</c:v>
                </c:pt>
                <c:pt idx="1">
                  <c:v>25.988875998951475</c:v>
                </c:pt>
                <c:pt idx="2">
                  <c:v>23.415780041490244</c:v>
                </c:pt>
                <c:pt idx="3">
                  <c:v>25.6</c:v>
                </c:pt>
                <c:pt idx="4">
                  <c:v>26.059026084010437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B-40D0-84DE-4A8AE7AFE7D8}"/>
            </c:ext>
          </c:extLst>
        </c:ser>
        <c:ser>
          <c:idx val="4"/>
          <c:order val="4"/>
          <c:tx>
            <c:strRef>
              <c:f>Latency!$A$40</c:f>
              <c:strCache>
                <c:ptCount val="1"/>
                <c:pt idx="0">
                  <c:v>Avg-2*Stdev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FB-40D0-84DE-4A8AE7AFE7D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FB-40D0-84DE-4A8AE7AFE7D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FB-40D0-84DE-4A8AE7AFE7D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FB-40D0-84DE-4A8AE7AFE7D8}"/>
              </c:ext>
            </c:extLst>
          </c:dPt>
          <c:val>
            <c:numRef>
              <c:f>Latency!$B$40:$F$40</c:f>
              <c:numCache>
                <c:formatCode>0</c:formatCode>
                <c:ptCount val="5"/>
                <c:pt idx="0">
                  <c:v>3.2728112757642682</c:v>
                </c:pt>
                <c:pt idx="1">
                  <c:v>16.411124001048524</c:v>
                </c:pt>
                <c:pt idx="2">
                  <c:v>15.584219958509756</c:v>
                </c:pt>
                <c:pt idx="3">
                  <c:v>17.600000000000001</c:v>
                </c:pt>
                <c:pt idx="4">
                  <c:v>18.940973915989563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FB-40D0-84DE-4A8AE7AF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989840"/>
        <c:axId val="598996728"/>
      </c:lineChart>
      <c:catAx>
        <c:axId val="5989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6728"/>
        <c:crosses val="autoZero"/>
        <c:auto val="1"/>
        <c:lblAlgn val="ctr"/>
        <c:lblOffset val="100"/>
        <c:noMultiLvlLbl val="0"/>
      </c:catAx>
      <c:valAx>
        <c:axId val="598996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351963890757644E-2"/>
          <c:y val="0.10426758638641244"/>
          <c:w val="0.22825487267426139"/>
          <c:h val="0.2776177523264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470647</xdr:colOff>
      <xdr:row>24</xdr:row>
      <xdr:rowOff>179294</xdr:rowOff>
    </xdr:from>
    <xdr:ext cx="8262471" cy="739588"/>
    <xdr:sp macro="" textlink="">
      <xdr:nvSpPr>
        <xdr:cNvPr id="2" name="TextBox 1"/>
        <xdr:cNvSpPr txBox="1"/>
      </xdr:nvSpPr>
      <xdr:spPr>
        <a:xfrm>
          <a:off x="470647" y="4669118"/>
          <a:ext cx="8262471" cy="739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200"/>
            <a:t>This</a:t>
          </a:r>
          <a:r>
            <a:rPr lang="en-SG" sz="1100" baseline="0"/>
            <a:t> CLV calculation is for a simple case of segmentation by frequent and occasional buyers. It illustrates the concept how different customers can have different CLV values, and the underlying assumptions on them. </a:t>
          </a:r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5</xdr:row>
      <xdr:rowOff>6350</xdr:rowOff>
    </xdr:from>
    <xdr:to>
      <xdr:col>1</xdr:col>
      <xdr:colOff>603250</xdr:colOff>
      <xdr:row>6</xdr:row>
      <xdr:rowOff>158750</xdr:rowOff>
    </xdr:to>
    <xdr:sp macro="" textlink="">
      <xdr:nvSpPr>
        <xdr:cNvPr id="2" name="Left Brace 1" descr="603e3b49-0739-460a-93dc-e873fb8555e4"/>
        <xdr:cNvSpPr/>
      </xdr:nvSpPr>
      <xdr:spPr>
        <a:xfrm>
          <a:off x="908050" y="742950"/>
          <a:ext cx="304800" cy="3365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11</xdr:col>
      <xdr:colOff>292100</xdr:colOff>
      <xdr:row>5</xdr:row>
      <xdr:rowOff>19050</xdr:rowOff>
    </xdr:from>
    <xdr:to>
      <xdr:col>11</xdr:col>
      <xdr:colOff>508000</xdr:colOff>
      <xdr:row>17</xdr:row>
      <xdr:rowOff>25400</xdr:rowOff>
    </xdr:to>
    <xdr:sp macro="" textlink="">
      <xdr:nvSpPr>
        <xdr:cNvPr id="6" name="Left Brace 5" descr="603e3b49-0739-460a-93dc-e873fb8555e4"/>
        <xdr:cNvSpPr/>
      </xdr:nvSpPr>
      <xdr:spPr>
        <a:xfrm rot="10800000">
          <a:off x="7302500" y="831850"/>
          <a:ext cx="215900" cy="2241550"/>
        </a:xfrm>
        <a:prstGeom prst="leftBrace">
          <a:avLst>
            <a:gd name="adj1" fmla="val 0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11</xdr:col>
      <xdr:colOff>571500</xdr:colOff>
      <xdr:row>10</xdr:row>
      <xdr:rowOff>57150</xdr:rowOff>
    </xdr:from>
    <xdr:ext cx="2736903" cy="264560"/>
    <xdr:sp macro="" textlink="">
      <xdr:nvSpPr>
        <xdr:cNvPr id="7" name="TextBox 6"/>
        <xdr:cNvSpPr txBox="1"/>
      </xdr:nvSpPr>
      <xdr:spPr>
        <a:xfrm>
          <a:off x="7581900" y="1816100"/>
          <a:ext cx="2736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1100"/>
            <a:t>Distribution of customer churns across years</a:t>
          </a:r>
        </a:p>
      </xdr:txBody>
    </xdr:sp>
    <xdr:clientData/>
  </xdr:oneCellAnchor>
  <xdr:twoCellAnchor>
    <xdr:from>
      <xdr:col>8</xdr:col>
      <xdr:colOff>52456</xdr:colOff>
      <xdr:row>22</xdr:row>
      <xdr:rowOff>553</xdr:rowOff>
    </xdr:from>
    <xdr:to>
      <xdr:col>15</xdr:col>
      <xdr:colOff>107674</xdr:colOff>
      <xdr:row>35</xdr:row>
      <xdr:rowOff>159579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2</xdr:row>
      <xdr:rowOff>44450</xdr:rowOff>
    </xdr:from>
    <xdr:ext cx="2667000" cy="2000250"/>
    <xdr:pic>
      <xdr:nvPicPr>
        <xdr:cNvPr id="2" name="Picture 1" descr="http://keisan.casio.com/keisan/lib/virtual/tmp/5210971510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412750"/>
          <a:ext cx="266700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209550</xdr:colOff>
          <xdr:row>13</xdr:row>
          <xdr:rowOff>12700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7</xdr:col>
          <xdr:colOff>209550</xdr:colOff>
          <xdr:row>14</xdr:row>
          <xdr:rowOff>12700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209550</xdr:colOff>
          <xdr:row>15</xdr:row>
          <xdr:rowOff>12700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50800</xdr:colOff>
          <xdr:row>16</xdr:row>
          <xdr:rowOff>44450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50800</xdr:colOff>
          <xdr:row>18</xdr:row>
          <xdr:rowOff>44450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50800</xdr:colOff>
          <xdr:row>20</xdr:row>
          <xdr:rowOff>44450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406400</xdr:colOff>
          <xdr:row>22</xdr:row>
          <xdr:rowOff>44450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406400</xdr:colOff>
          <xdr:row>24</xdr:row>
          <xdr:rowOff>44450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127001</xdr:rowOff>
    </xdr:from>
    <xdr:to>
      <xdr:col>16</xdr:col>
      <xdr:colOff>527050</xdr:colOff>
      <xdr:row>18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EBE5F-2EBC-4299-BD99-787C4CAC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19</xdr:row>
      <xdr:rowOff>69849</xdr:rowOff>
    </xdr:from>
    <xdr:to>
      <xdr:col>13</xdr:col>
      <xdr:colOff>230187</xdr:colOff>
      <xdr:row>32</xdr:row>
      <xdr:rowOff>53974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95A39-6298-4A9A-88BE-1E73D9E1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850900</xdr:colOff>
      <xdr:row>35</xdr:row>
      <xdr:rowOff>177800</xdr:rowOff>
    </xdr:from>
    <xdr:to>
      <xdr:col>14</xdr:col>
      <xdr:colOff>260349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C47FB-08FC-4E65-8460-8B2D6A910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552440</xdr:rowOff>
    </xdr:from>
    <xdr:to>
      <xdr:col>4</xdr:col>
      <xdr:colOff>215989</xdr:colOff>
      <xdr:row>7</xdr:row>
      <xdr:rowOff>21284</xdr:rowOff>
    </xdr:to>
    <xdr:sp macro="" textlink="">
      <xdr:nvSpPr>
        <xdr:cNvPr id="2" name="Freeform 1"/>
        <xdr:cNvSpPr/>
      </xdr:nvSpPr>
      <xdr:spPr>
        <a:xfrm>
          <a:off x="1257300" y="1289040"/>
          <a:ext cx="5359489" cy="2878794"/>
        </a:xfrm>
        <a:custGeom>
          <a:avLst/>
          <a:gdLst>
            <a:gd name="connsiteX0" fmla="*/ 0 w 5359489"/>
            <a:gd name="connsiteY0" fmla="*/ 2660660 h 2878794"/>
            <a:gd name="connsiteX1" fmla="*/ 2432050 w 5359489"/>
            <a:gd name="connsiteY1" fmla="*/ 10 h 2878794"/>
            <a:gd name="connsiteX2" fmla="*/ 5162550 w 5359489"/>
            <a:gd name="connsiteY2" fmla="*/ 2686060 h 2878794"/>
            <a:gd name="connsiteX3" fmla="*/ 5149850 w 5359489"/>
            <a:gd name="connsiteY3" fmla="*/ 2667010 h 2878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359489" h="2878794">
              <a:moveTo>
                <a:pt x="0" y="2660660"/>
              </a:moveTo>
              <a:cubicBezTo>
                <a:pt x="785812" y="1328218"/>
                <a:pt x="1571625" y="-4223"/>
                <a:pt x="2432050" y="10"/>
              </a:cubicBezTo>
              <a:cubicBezTo>
                <a:pt x="3292475" y="4243"/>
                <a:pt x="4709583" y="2241560"/>
                <a:pt x="5162550" y="2686060"/>
              </a:cubicBezTo>
              <a:cubicBezTo>
                <a:pt x="5615517" y="3130560"/>
                <a:pt x="5144558" y="2667010"/>
                <a:pt x="5149850" y="266701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6350</xdr:rowOff>
    </xdr:from>
    <xdr:to>
      <xdr:col>2</xdr:col>
      <xdr:colOff>6350</xdr:colOff>
      <xdr:row>14</xdr:row>
      <xdr:rowOff>25400</xdr:rowOff>
    </xdr:to>
    <xdr:cxnSp macro="">
      <xdr:nvCxnSpPr>
        <xdr:cNvPr id="2" name="Straight Arrow Connector 1" descr="9c97030c-abc6-48ea-bf0b-7e29748f3775"/>
        <xdr:cNvCxnSpPr/>
      </xdr:nvCxnSpPr>
      <xdr:spPr>
        <a:xfrm flipV="1">
          <a:off x="1200150" y="374650"/>
          <a:ext cx="25400" cy="2228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596900</xdr:colOff>
      <xdr:row>14</xdr:row>
      <xdr:rowOff>6350</xdr:rowOff>
    </xdr:from>
    <xdr:to>
      <xdr:col>6</xdr:col>
      <xdr:colOff>577850</xdr:colOff>
      <xdr:row>14</xdr:row>
      <xdr:rowOff>6350</xdr:rowOff>
    </xdr:to>
    <xdr:cxnSp macro="">
      <xdr:nvCxnSpPr>
        <xdr:cNvPr id="3" name="Straight Arrow Connector 2" descr="09d9c8cf-9056-4d22-9073-e3cc2967dee2"/>
        <xdr:cNvCxnSpPr/>
      </xdr:nvCxnSpPr>
      <xdr:spPr>
        <a:xfrm>
          <a:off x="1206500" y="2584450"/>
          <a:ext cx="3028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107950</xdr:rowOff>
    </xdr:from>
    <xdr:to>
      <xdr:col>6</xdr:col>
      <xdr:colOff>95250</xdr:colOff>
      <xdr:row>11</xdr:row>
      <xdr:rowOff>139700</xdr:rowOff>
    </xdr:to>
    <xdr:cxnSp macro="">
      <xdr:nvCxnSpPr>
        <xdr:cNvPr id="4" name="Straight Connector 3"/>
        <xdr:cNvCxnSpPr/>
      </xdr:nvCxnSpPr>
      <xdr:spPr>
        <a:xfrm flipV="1">
          <a:off x="1739900" y="476250"/>
          <a:ext cx="2012950" cy="168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3</xdr:row>
      <xdr:rowOff>120650</xdr:rowOff>
    </xdr:from>
    <xdr:to>
      <xdr:col>6</xdr:col>
      <xdr:colOff>533400</xdr:colOff>
      <xdr:row>10</xdr:row>
      <xdr:rowOff>114300</xdr:rowOff>
    </xdr:to>
    <xdr:cxnSp macro="">
      <xdr:nvCxnSpPr>
        <xdr:cNvPr id="5" name="Straight Connector 4"/>
        <xdr:cNvCxnSpPr/>
      </xdr:nvCxnSpPr>
      <xdr:spPr>
        <a:xfrm>
          <a:off x="1885950" y="673100"/>
          <a:ext cx="2305050" cy="128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2</xdr:row>
      <xdr:rowOff>6350</xdr:rowOff>
    </xdr:from>
    <xdr:to>
      <xdr:col>10</xdr:col>
      <xdr:colOff>6350</xdr:colOff>
      <xdr:row>14</xdr:row>
      <xdr:rowOff>25400</xdr:rowOff>
    </xdr:to>
    <xdr:cxnSp macro="">
      <xdr:nvCxnSpPr>
        <xdr:cNvPr id="6" name="Straight Arrow Connector 5" descr="851e8796-5da2-49bc-8fed-468be999c024"/>
        <xdr:cNvCxnSpPr/>
      </xdr:nvCxnSpPr>
      <xdr:spPr>
        <a:xfrm flipV="1">
          <a:off x="6076950" y="374650"/>
          <a:ext cx="25400" cy="2228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596900</xdr:colOff>
      <xdr:row>14</xdr:row>
      <xdr:rowOff>6350</xdr:rowOff>
    </xdr:from>
    <xdr:to>
      <xdr:col>14</xdr:col>
      <xdr:colOff>577850</xdr:colOff>
      <xdr:row>14</xdr:row>
      <xdr:rowOff>6350</xdr:rowOff>
    </xdr:to>
    <xdr:cxnSp macro="">
      <xdr:nvCxnSpPr>
        <xdr:cNvPr id="7" name="Straight Arrow Connector 6" descr="bc481db4-0bb1-4235-b8b1-c19349574dd7"/>
        <xdr:cNvCxnSpPr/>
      </xdr:nvCxnSpPr>
      <xdr:spPr>
        <a:xfrm>
          <a:off x="6083300" y="2584450"/>
          <a:ext cx="3028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520700</xdr:colOff>
      <xdr:row>2</xdr:row>
      <xdr:rowOff>107950</xdr:rowOff>
    </xdr:from>
    <xdr:to>
      <xdr:col>14</xdr:col>
      <xdr:colOff>95250</xdr:colOff>
      <xdr:row>11</xdr:row>
      <xdr:rowOff>139700</xdr:rowOff>
    </xdr:to>
    <xdr:cxnSp macro="">
      <xdr:nvCxnSpPr>
        <xdr:cNvPr id="8" name="Straight Connector 7"/>
        <xdr:cNvCxnSpPr/>
      </xdr:nvCxnSpPr>
      <xdr:spPr>
        <a:xfrm flipV="1">
          <a:off x="6616700" y="476250"/>
          <a:ext cx="2012950" cy="168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3</xdr:row>
      <xdr:rowOff>69850</xdr:rowOff>
    </xdr:from>
    <xdr:to>
      <xdr:col>13</xdr:col>
      <xdr:colOff>317500</xdr:colOff>
      <xdr:row>13</xdr:row>
      <xdr:rowOff>44450</xdr:rowOff>
    </xdr:to>
    <xdr:cxnSp macro="">
      <xdr:nvCxnSpPr>
        <xdr:cNvPr id="9" name="Straight Connector 8"/>
        <xdr:cNvCxnSpPr/>
      </xdr:nvCxnSpPr>
      <xdr:spPr>
        <a:xfrm>
          <a:off x="7067550" y="622300"/>
          <a:ext cx="1174750" cy="1816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4</xdr:row>
      <xdr:rowOff>82550</xdr:rowOff>
    </xdr:from>
    <xdr:to>
      <xdr:col>14</xdr:col>
      <xdr:colOff>342900</xdr:colOff>
      <xdr:row>11</xdr:row>
      <xdr:rowOff>76200</xdr:rowOff>
    </xdr:to>
    <xdr:cxnSp macro="">
      <xdr:nvCxnSpPr>
        <xdr:cNvPr id="10" name="Straight Connector 9"/>
        <xdr:cNvCxnSpPr/>
      </xdr:nvCxnSpPr>
      <xdr:spPr>
        <a:xfrm>
          <a:off x="6572250" y="819150"/>
          <a:ext cx="2305050" cy="1282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7.xml"/><Relationship Id="rId1" Type="http://schemas.openxmlformats.org/officeDocument/2006/relationships/hyperlink" Target="http://keisan.casio.com/exec/system/1180573211" TargetMode="External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comments" Target="../comments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15" zoomScaleNormal="115" workbookViewId="0">
      <selection activeCell="E7" sqref="E7"/>
    </sheetView>
  </sheetViews>
  <sheetFormatPr defaultRowHeight="14.5" x14ac:dyDescent="0.35"/>
  <cols>
    <col min="1" max="1" width="6.81640625" customWidth="1"/>
    <col min="2" max="2" width="9.1796875" style="1"/>
    <col min="3" max="3" width="22.54296875" style="1" customWidth="1"/>
    <col min="4" max="4" width="15.26953125" style="1" customWidth="1"/>
    <col min="5" max="5" width="23.81640625" style="1" customWidth="1"/>
    <col min="8" max="8" width="22.54296875" customWidth="1"/>
  </cols>
  <sheetData>
    <row r="1" spans="1:10" ht="23.5" x14ac:dyDescent="0.55000000000000004">
      <c r="A1" s="79" t="s">
        <v>109</v>
      </c>
      <c r="B1" s="70"/>
      <c r="C1" s="70"/>
      <c r="D1" s="70"/>
      <c r="E1" s="70"/>
    </row>
    <row r="3" spans="1:10" x14ac:dyDescent="0.35">
      <c r="B3" s="2"/>
      <c r="C3" s="78" t="s">
        <v>7</v>
      </c>
      <c r="D3" s="2"/>
      <c r="E3" s="2"/>
      <c r="F3" s="3"/>
      <c r="G3" s="3"/>
      <c r="H3" s="3"/>
      <c r="I3" s="3"/>
    </row>
    <row r="4" spans="1:10" x14ac:dyDescent="0.35">
      <c r="B4" s="2" t="s">
        <v>5</v>
      </c>
      <c r="C4" s="2" t="s">
        <v>6</v>
      </c>
      <c r="D4" s="2" t="s">
        <v>8</v>
      </c>
      <c r="E4" s="2" t="s">
        <v>9</v>
      </c>
      <c r="F4" s="3"/>
      <c r="G4" s="3"/>
      <c r="H4" s="3"/>
      <c r="I4" s="3"/>
    </row>
    <row r="5" spans="1:10" x14ac:dyDescent="0.35">
      <c r="B5" s="2">
        <v>1</v>
      </c>
      <c r="C5" s="2">
        <f>I5</f>
        <v>1000</v>
      </c>
      <c r="D5" s="4">
        <f>C5*I7*I8</f>
        <v>20000</v>
      </c>
      <c r="E5" s="6">
        <f>D5/(1+I$9)^$B5</f>
        <v>18518.518518518518</v>
      </c>
      <c r="F5" s="3"/>
      <c r="G5" s="3"/>
      <c r="H5" s="3" t="s">
        <v>0</v>
      </c>
      <c r="I5" s="3">
        <v>1000</v>
      </c>
    </row>
    <row r="6" spans="1:10" x14ac:dyDescent="0.35">
      <c r="B6" s="2">
        <v>2</v>
      </c>
      <c r="C6" s="2">
        <f>C5*I6</f>
        <v>750</v>
      </c>
      <c r="D6" s="5">
        <f>C6*I7*I8</f>
        <v>15000</v>
      </c>
      <c r="E6" s="6">
        <f t="shared" ref="E6:E7" si="0">D6/(1+I$9)^$B6</f>
        <v>12860.082304526748</v>
      </c>
      <c r="F6" s="3"/>
      <c r="G6" s="3"/>
      <c r="H6" s="17" t="s">
        <v>1</v>
      </c>
      <c r="I6" s="7">
        <v>0.75</v>
      </c>
    </row>
    <row r="7" spans="1:10" x14ac:dyDescent="0.35">
      <c r="B7" s="2">
        <v>3</v>
      </c>
      <c r="C7" s="2">
        <f>C6*I6</f>
        <v>562.5</v>
      </c>
      <c r="D7" s="4">
        <f>C7*I7*I8</f>
        <v>11250</v>
      </c>
      <c r="E7" s="6">
        <f t="shared" si="0"/>
        <v>8930.6127114769079</v>
      </c>
      <c r="F7" s="3"/>
      <c r="G7" s="3"/>
      <c r="H7" s="3" t="s">
        <v>2</v>
      </c>
      <c r="I7" s="8">
        <v>100</v>
      </c>
      <c r="J7">
        <v>110</v>
      </c>
    </row>
    <row r="8" spans="1:10" x14ac:dyDescent="0.35">
      <c r="B8" s="2"/>
      <c r="C8" s="2"/>
      <c r="D8" s="2"/>
      <c r="E8" s="2"/>
      <c r="F8" s="3"/>
      <c r="G8" s="3"/>
      <c r="H8" s="3" t="s">
        <v>3</v>
      </c>
      <c r="I8" s="7">
        <v>0.2</v>
      </c>
    </row>
    <row r="9" spans="1:10" x14ac:dyDescent="0.35">
      <c r="B9" s="2"/>
      <c r="C9" s="2"/>
      <c r="D9" s="2" t="s">
        <v>11</v>
      </c>
      <c r="E9" s="4">
        <f>SUM(E5:E7)</f>
        <v>40309.213534522176</v>
      </c>
      <c r="F9" s="3"/>
      <c r="G9" s="3"/>
      <c r="H9" s="3" t="s">
        <v>4</v>
      </c>
      <c r="I9" s="7">
        <v>0.08</v>
      </c>
    </row>
    <row r="10" spans="1:10" x14ac:dyDescent="0.35">
      <c r="B10" s="2"/>
      <c r="C10" s="2"/>
      <c r="D10" s="2"/>
      <c r="E10" s="4"/>
      <c r="F10" s="3"/>
      <c r="G10" s="3"/>
      <c r="H10" s="18" t="s">
        <v>13</v>
      </c>
      <c r="I10" s="9">
        <v>18.25</v>
      </c>
    </row>
    <row r="11" spans="1:10" x14ac:dyDescent="0.35">
      <c r="B11" s="2"/>
      <c r="C11" s="10" t="s">
        <v>12</v>
      </c>
      <c r="D11" s="2"/>
      <c r="E11" s="4">
        <f>E9-I10*I5</f>
        <v>22059.213534522176</v>
      </c>
      <c r="F11" s="3"/>
      <c r="G11" s="3"/>
      <c r="H11" s="3"/>
      <c r="I11" s="86">
        <v>21.53</v>
      </c>
      <c r="J11">
        <v>25.43</v>
      </c>
    </row>
    <row r="12" spans="1:10" x14ac:dyDescent="0.35">
      <c r="B12" s="2"/>
      <c r="C12" s="10" t="s">
        <v>14</v>
      </c>
      <c r="D12" s="2"/>
      <c r="E12" s="85">
        <f>E11/I5</f>
        <v>22.059213534522176</v>
      </c>
      <c r="F12" s="3"/>
      <c r="G12" s="3"/>
      <c r="H12" s="3"/>
      <c r="I12" s="7"/>
      <c r="J12">
        <v>20.78</v>
      </c>
    </row>
    <row r="14" spans="1:10" x14ac:dyDescent="0.35">
      <c r="B14" s="2"/>
      <c r="C14" s="78" t="s">
        <v>10</v>
      </c>
      <c r="D14" s="2"/>
      <c r="E14" s="2"/>
      <c r="F14" s="3"/>
      <c r="G14" s="3"/>
      <c r="H14" s="3"/>
      <c r="I14" s="3"/>
    </row>
    <row r="15" spans="1:10" x14ac:dyDescent="0.35">
      <c r="B15" s="2" t="s">
        <v>5</v>
      </c>
      <c r="C15" s="2" t="s">
        <v>6</v>
      </c>
      <c r="D15" s="2" t="s">
        <v>8</v>
      </c>
      <c r="E15" s="2" t="s">
        <v>9</v>
      </c>
      <c r="F15" s="3"/>
      <c r="G15" s="3"/>
      <c r="H15" s="3"/>
      <c r="I15" s="3"/>
    </row>
    <row r="16" spans="1:10" x14ac:dyDescent="0.35">
      <c r="B16" s="2">
        <v>1</v>
      </c>
      <c r="C16" s="2">
        <f>I16</f>
        <v>1000</v>
      </c>
      <c r="D16" s="4">
        <f>C16*I18*I19</f>
        <v>16000</v>
      </c>
      <c r="E16" s="6">
        <f>D16/(1+I$20)^$B16</f>
        <v>14545.454545454544</v>
      </c>
      <c r="F16" s="3"/>
      <c r="G16" s="3"/>
      <c r="H16" s="3" t="s">
        <v>0</v>
      </c>
      <c r="I16" s="3">
        <v>1000</v>
      </c>
    </row>
    <row r="17" spans="2:9" x14ac:dyDescent="0.35">
      <c r="B17" s="2">
        <v>2</v>
      </c>
      <c r="C17" s="2">
        <f>C16*I17</f>
        <v>500</v>
      </c>
      <c r="D17" s="5">
        <f>C17*I18*I19</f>
        <v>8000</v>
      </c>
      <c r="E17" s="6">
        <f t="shared" ref="E17:E18" si="1">D17/(1+I$20)^$B17</f>
        <v>6611.5702479338834</v>
      </c>
      <c r="F17" s="3"/>
      <c r="G17" s="3"/>
      <c r="H17" s="3" t="s">
        <v>1</v>
      </c>
      <c r="I17" s="7">
        <v>0.5</v>
      </c>
    </row>
    <row r="18" spans="2:9" x14ac:dyDescent="0.35">
      <c r="B18" s="2">
        <v>3</v>
      </c>
      <c r="C18" s="2">
        <f>C17*I17</f>
        <v>250</v>
      </c>
      <c r="D18" s="4">
        <f>C18*I18*I19</f>
        <v>4000</v>
      </c>
      <c r="E18" s="6">
        <f t="shared" si="1"/>
        <v>3005.2592036063102</v>
      </c>
      <c r="F18" s="3"/>
      <c r="G18" s="3"/>
      <c r="H18" s="3" t="s">
        <v>2</v>
      </c>
      <c r="I18" s="8">
        <v>80</v>
      </c>
    </row>
    <row r="19" spans="2:9" x14ac:dyDescent="0.35">
      <c r="B19" s="2"/>
      <c r="C19" s="2"/>
      <c r="D19" s="2"/>
      <c r="E19" s="2"/>
      <c r="F19" s="3"/>
      <c r="G19" s="3"/>
      <c r="H19" s="3" t="s">
        <v>3</v>
      </c>
      <c r="I19" s="7">
        <v>0.2</v>
      </c>
    </row>
    <row r="20" spans="2:9" x14ac:dyDescent="0.35">
      <c r="B20" s="2"/>
      <c r="C20" s="2"/>
      <c r="D20" s="2" t="s">
        <v>11</v>
      </c>
      <c r="E20" s="4">
        <f>SUM(E16:E18)</f>
        <v>24162.283996994738</v>
      </c>
      <c r="F20" s="3"/>
      <c r="G20" s="3"/>
      <c r="H20" s="3" t="s">
        <v>4</v>
      </c>
      <c r="I20" s="7">
        <v>0.1</v>
      </c>
    </row>
    <row r="21" spans="2:9" x14ac:dyDescent="0.35">
      <c r="B21" s="2"/>
      <c r="C21" s="2"/>
      <c r="D21" s="2"/>
      <c r="E21" s="2"/>
      <c r="F21" s="3"/>
      <c r="G21" s="3"/>
      <c r="H21" s="18" t="s">
        <v>13</v>
      </c>
      <c r="I21" s="9">
        <v>22</v>
      </c>
    </row>
    <row r="22" spans="2:9" x14ac:dyDescent="0.35">
      <c r="B22" s="2"/>
      <c r="C22" s="2" t="s">
        <v>12</v>
      </c>
      <c r="D22" s="2"/>
      <c r="E22" s="4">
        <f>E20-I21*I16</f>
        <v>2162.2839969947381</v>
      </c>
      <c r="F22" s="3"/>
      <c r="G22" s="3"/>
      <c r="H22" s="3"/>
      <c r="I22" s="3"/>
    </row>
    <row r="23" spans="2:9" x14ac:dyDescent="0.35">
      <c r="B23" s="2"/>
      <c r="C23" s="10" t="s">
        <v>14</v>
      </c>
      <c r="D23" s="2"/>
      <c r="E23" s="85">
        <f>E22/I16</f>
        <v>2.1622839969947383</v>
      </c>
      <c r="F23" s="3"/>
      <c r="G23" s="3"/>
      <c r="H23" s="3"/>
      <c r="I23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0"/>
  <sheetViews>
    <sheetView showGridLines="0" workbookViewId="0">
      <selection activeCell="R19" sqref="R19"/>
    </sheetView>
  </sheetViews>
  <sheetFormatPr defaultRowHeight="14.5" x14ac:dyDescent="0.35"/>
  <cols>
    <col min="1" max="1" width="3.08984375" customWidth="1"/>
  </cols>
  <sheetData>
    <row r="3" spans="2:17" x14ac:dyDescent="0.35">
      <c r="B3" t="s">
        <v>107</v>
      </c>
      <c r="J3" t="s">
        <v>107</v>
      </c>
    </row>
    <row r="4" spans="2:17" x14ac:dyDescent="0.35">
      <c r="D4" t="s">
        <v>106</v>
      </c>
      <c r="G4" t="s">
        <v>105</v>
      </c>
      <c r="L4" t="s">
        <v>106</v>
      </c>
      <c r="O4" t="s">
        <v>105</v>
      </c>
    </row>
    <row r="10" spans="2:17" x14ac:dyDescent="0.35">
      <c r="Q10" t="s">
        <v>104</v>
      </c>
    </row>
    <row r="11" spans="2:17" x14ac:dyDescent="0.35">
      <c r="O11" t="s">
        <v>103</v>
      </c>
    </row>
    <row r="13" spans="2:17" x14ac:dyDescent="0.35">
      <c r="N13" t="s">
        <v>102</v>
      </c>
    </row>
    <row r="14" spans="2:17" x14ac:dyDescent="0.35">
      <c r="Q14" t="s">
        <v>101</v>
      </c>
    </row>
    <row r="16" spans="2:17" x14ac:dyDescent="0.35">
      <c r="G16" t="s">
        <v>100</v>
      </c>
      <c r="O16" t="s">
        <v>100</v>
      </c>
    </row>
    <row r="19" spans="3:3" x14ac:dyDescent="0.35">
      <c r="C19" s="76" t="s">
        <v>99</v>
      </c>
    </row>
    <row r="20" spans="3:3" x14ac:dyDescent="0.35">
      <c r="C20" s="75" t="s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45" zoomScaleNormal="145" workbookViewId="0">
      <selection activeCell="D13" sqref="D13"/>
    </sheetView>
  </sheetViews>
  <sheetFormatPr defaultRowHeight="14.5" x14ac:dyDescent="0.35"/>
  <cols>
    <col min="2" max="2" width="16.36328125" customWidth="1"/>
  </cols>
  <sheetData>
    <row r="1" spans="1:4" x14ac:dyDescent="0.35">
      <c r="A1" t="s">
        <v>135</v>
      </c>
    </row>
    <row r="2" spans="1:4" x14ac:dyDescent="0.35">
      <c r="A2" t="s">
        <v>136</v>
      </c>
      <c r="B2">
        <v>7.0000000000000007E-2</v>
      </c>
      <c r="C2">
        <v>100</v>
      </c>
    </row>
    <row r="3" spans="1:4" x14ac:dyDescent="0.35">
      <c r="A3" s="92" t="s">
        <v>95</v>
      </c>
      <c r="B3" s="92" t="s">
        <v>137</v>
      </c>
      <c r="C3" s="92" t="s">
        <v>139</v>
      </c>
      <c r="D3" s="92" t="s">
        <v>138</v>
      </c>
    </row>
    <row r="4" spans="1:4" x14ac:dyDescent="0.35">
      <c r="A4">
        <v>1</v>
      </c>
      <c r="B4" s="80">
        <f>1/(1+B$2)^$A4</f>
        <v>0.93457943925233644</v>
      </c>
      <c r="C4">
        <f>C$2</f>
        <v>100</v>
      </c>
      <c r="D4" s="80">
        <f>$B4*C$2</f>
        <v>93.45794392523365</v>
      </c>
    </row>
    <row r="5" spans="1:4" x14ac:dyDescent="0.35">
      <c r="A5">
        <v>2</v>
      </c>
      <c r="B5" s="80">
        <f t="shared" ref="B5:B7" si="0">1/(1+B$2)^$A5</f>
        <v>0.87343872827321156</v>
      </c>
      <c r="C5">
        <f>C$2</f>
        <v>100</v>
      </c>
      <c r="D5" s="80">
        <f>$B5*C$2</f>
        <v>87.34387282732115</v>
      </c>
    </row>
    <row r="6" spans="1:4" x14ac:dyDescent="0.35">
      <c r="A6">
        <v>3</v>
      </c>
      <c r="B6" s="80">
        <f t="shared" si="0"/>
        <v>0.81629787689085187</v>
      </c>
      <c r="C6">
        <f>C$2</f>
        <v>100</v>
      </c>
      <c r="D6" s="80">
        <f>$B6*C$2</f>
        <v>81.629787689085191</v>
      </c>
    </row>
    <row r="7" spans="1:4" x14ac:dyDescent="0.35">
      <c r="A7">
        <v>4</v>
      </c>
      <c r="B7" s="80">
        <f t="shared" si="0"/>
        <v>0.7628952120475252</v>
      </c>
      <c r="C7">
        <f>C$2</f>
        <v>100</v>
      </c>
      <c r="D7" s="80">
        <f>$B7*C$2</f>
        <v>76.289521204752518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tabSelected="1" zoomScale="115" zoomScaleNormal="115" workbookViewId="0">
      <selection activeCell="D9" sqref="D9"/>
    </sheetView>
  </sheetViews>
  <sheetFormatPr defaultRowHeight="14.5" x14ac:dyDescent="0.35"/>
  <cols>
    <col min="2" max="2" width="17.1796875" customWidth="1"/>
    <col min="3" max="3" width="11.26953125" customWidth="1"/>
    <col min="5" max="5" width="13.26953125" customWidth="1"/>
    <col min="8" max="8" width="4.6328125" customWidth="1"/>
    <col min="11" max="11" width="12.453125" customWidth="1"/>
  </cols>
  <sheetData>
    <row r="1" spans="1:13" ht="18.5" x14ac:dyDescent="0.45">
      <c r="A1" s="77" t="s">
        <v>108</v>
      </c>
    </row>
    <row r="2" spans="1:13" ht="18.5" x14ac:dyDescent="0.45">
      <c r="A2" s="77" t="s">
        <v>112</v>
      </c>
      <c r="F2" s="89">
        <f>AVERAGE(F5:F6)</f>
        <v>0.25541281188299531</v>
      </c>
      <c r="G2" s="84"/>
    </row>
    <row r="3" spans="1:13" ht="16.5" x14ac:dyDescent="0.45">
      <c r="A3" s="69" t="s">
        <v>95</v>
      </c>
      <c r="B3" s="69" t="s">
        <v>94</v>
      </c>
      <c r="C3" s="69" t="s">
        <v>93</v>
      </c>
      <c r="D3" s="69" t="s">
        <v>92</v>
      </c>
      <c r="E3" s="69" t="s">
        <v>133</v>
      </c>
      <c r="F3" s="74" t="s">
        <v>97</v>
      </c>
      <c r="G3" s="87"/>
      <c r="H3" s="43"/>
      <c r="I3" s="26" t="s">
        <v>120</v>
      </c>
      <c r="J3" s="26"/>
      <c r="K3" s="91">
        <f>1/F2</f>
        <v>3.9152303779424358</v>
      </c>
    </row>
    <row r="4" spans="1:13" x14ac:dyDescent="0.35">
      <c r="A4" s="3">
        <v>0</v>
      </c>
      <c r="B4" s="3">
        <v>1000</v>
      </c>
      <c r="C4" s="3">
        <f>B4-B5</f>
        <v>250</v>
      </c>
      <c r="D4" s="67">
        <f>(1-C4/B4)</f>
        <v>0.75</v>
      </c>
      <c r="E4" s="83">
        <f>-LN(D4)</f>
        <v>0.2876820724517809</v>
      </c>
      <c r="F4" s="3"/>
      <c r="G4" s="43"/>
      <c r="H4" s="43"/>
      <c r="K4" s="71"/>
    </row>
    <row r="5" spans="1:13" x14ac:dyDescent="0.35">
      <c r="A5" s="3">
        <v>1</v>
      </c>
      <c r="B5" s="3">
        <v>750</v>
      </c>
      <c r="C5" s="3">
        <f>B5-B6</f>
        <v>150</v>
      </c>
      <c r="D5" s="67">
        <f>(1-C5/B5)</f>
        <v>0.8</v>
      </c>
      <c r="E5" s="67">
        <f>-LN(D5*D4)</f>
        <v>0.5108256237659905</v>
      </c>
      <c r="F5" s="73">
        <f>(+E5-E4)/1</f>
        <v>0.2231435513142096</v>
      </c>
      <c r="G5" s="88"/>
      <c r="H5" s="43"/>
      <c r="I5" s="70" t="s">
        <v>5</v>
      </c>
      <c r="J5" s="70" t="s">
        <v>122</v>
      </c>
      <c r="K5" t="s">
        <v>123</v>
      </c>
      <c r="M5" t="s">
        <v>119</v>
      </c>
    </row>
    <row r="6" spans="1:13" x14ac:dyDescent="0.35">
      <c r="A6" s="3">
        <v>2</v>
      </c>
      <c r="B6" s="3">
        <v>600</v>
      </c>
      <c r="C6" s="3">
        <f>B6-B7</f>
        <v>150</v>
      </c>
      <c r="D6" s="67">
        <f>(1-C6/B6)</f>
        <v>0.75</v>
      </c>
      <c r="E6" s="67">
        <f>-LN(PRODUCT(D4:D6))</f>
        <v>0.79850769621777151</v>
      </c>
      <c r="F6" s="73">
        <f>-(-E6+E5)/1</f>
        <v>0.28768207245178101</v>
      </c>
      <c r="G6" s="88">
        <f>(E6-E4)/2</f>
        <v>0.25541281188299531</v>
      </c>
      <c r="H6" s="43"/>
      <c r="I6" s="70">
        <v>0</v>
      </c>
      <c r="J6" s="70">
        <v>1</v>
      </c>
      <c r="K6" s="104">
        <f t="shared" ref="K6:K20" si="0">K$3^I6*EXP(-K$3)/FACT(I6)</f>
        <v>1.9935955312203438E-2</v>
      </c>
      <c r="M6" s="90">
        <f>SUMPRODUCT(J6:J18,K6:K18)</f>
        <v>4.9120164505276369</v>
      </c>
    </row>
    <row r="7" spans="1:13" x14ac:dyDescent="0.35">
      <c r="A7" s="3">
        <v>3</v>
      </c>
      <c r="B7" s="3">
        <v>450</v>
      </c>
      <c r="C7" s="3"/>
      <c r="D7" s="3"/>
      <c r="I7" s="70">
        <v>1</v>
      </c>
      <c r="J7" s="70">
        <v>2</v>
      </c>
      <c r="K7" s="104">
        <f t="shared" si="0"/>
        <v>7.8053857851641775E-2</v>
      </c>
    </row>
    <row r="8" spans="1:13" ht="16.5" x14ac:dyDescent="0.45">
      <c r="B8" t="s">
        <v>111</v>
      </c>
      <c r="C8" t="s">
        <v>110</v>
      </c>
      <c r="D8" s="66">
        <f>PRODUCT(D4:D6)</f>
        <v>0.45000000000000007</v>
      </c>
      <c r="E8">
        <f>D4*D5</f>
        <v>0.60000000000000009</v>
      </c>
      <c r="F8">
        <f>1/AVERAGE(F5:F6)</f>
        <v>3.9152303779424358</v>
      </c>
      <c r="I8" s="70">
        <v>2</v>
      </c>
      <c r="J8" s="70">
        <v>3</v>
      </c>
      <c r="K8" s="104">
        <f t="shared" si="0"/>
        <v>0.15279941768817429</v>
      </c>
    </row>
    <row r="9" spans="1:13" ht="14.5" customHeight="1" x14ac:dyDescent="0.35">
      <c r="B9" s="94" t="s">
        <v>90</v>
      </c>
      <c r="C9" s="94"/>
      <c r="D9" s="71">
        <f>(500-B7)/(B6-B7)*A6+(B6-500)/(B6-B7)*A7</f>
        <v>2.6666666666666665</v>
      </c>
      <c r="E9">
        <f>EXP(-E6)</f>
        <v>0.45000000000000007</v>
      </c>
      <c r="I9" s="70">
        <v>3</v>
      </c>
      <c r="J9" s="70">
        <v>4</v>
      </c>
      <c r="K9" s="104">
        <f t="shared" si="0"/>
        <v>0.19941497395488492</v>
      </c>
    </row>
    <row r="10" spans="1:13" x14ac:dyDescent="0.35">
      <c r="B10" s="72"/>
      <c r="C10" s="72"/>
      <c r="I10" s="70">
        <v>4</v>
      </c>
      <c r="J10" s="70">
        <v>5</v>
      </c>
      <c r="K10" s="104">
        <f t="shared" si="0"/>
        <v>0.19518889096119127</v>
      </c>
    </row>
    <row r="11" spans="1:13" x14ac:dyDescent="0.35">
      <c r="B11" s="95" t="s">
        <v>96</v>
      </c>
      <c r="C11" s="95"/>
      <c r="D11" s="3">
        <f>-LN(D8)</f>
        <v>0.79850769621777151</v>
      </c>
      <c r="I11" s="70">
        <v>5</v>
      </c>
      <c r="J11" s="70">
        <v>6</v>
      </c>
      <c r="K11" s="104">
        <f t="shared" si="0"/>
        <v>0.15284189506562995</v>
      </c>
    </row>
    <row r="12" spans="1:13" x14ac:dyDescent="0.35">
      <c r="I12" s="70">
        <v>6</v>
      </c>
      <c r="J12" s="70">
        <v>7</v>
      </c>
      <c r="K12" s="104">
        <f t="shared" si="0"/>
        <v>9.9735205097207416E-2</v>
      </c>
    </row>
    <row r="13" spans="1:13" x14ac:dyDescent="0.35">
      <c r="I13" s="70">
        <v>7</v>
      </c>
      <c r="J13" s="70">
        <v>8</v>
      </c>
      <c r="K13" s="104">
        <f t="shared" si="0"/>
        <v>5.5783757820986525E-2</v>
      </c>
    </row>
    <row r="14" spans="1:13" x14ac:dyDescent="0.35">
      <c r="I14" s="70">
        <v>8</v>
      </c>
      <c r="J14" s="70">
        <v>9</v>
      </c>
      <c r="K14" s="104">
        <f t="shared" si="0"/>
        <v>2.7300782902063801E-2</v>
      </c>
    </row>
    <row r="15" spans="1:13" x14ac:dyDescent="0.35">
      <c r="I15" s="70">
        <v>9</v>
      </c>
      <c r="J15" s="70">
        <v>10</v>
      </c>
      <c r="K15" s="104">
        <f t="shared" si="0"/>
        <v>1.1876539395530182E-2</v>
      </c>
    </row>
    <row r="16" spans="1:13" x14ac:dyDescent="0.35">
      <c r="I16" s="70">
        <v>10</v>
      </c>
      <c r="J16" s="70">
        <v>11</v>
      </c>
      <c r="K16" s="104">
        <f t="shared" si="0"/>
        <v>4.6499387826209855E-3</v>
      </c>
    </row>
    <row r="17" spans="1:11" x14ac:dyDescent="0.35">
      <c r="A17" s="80" t="s">
        <v>117</v>
      </c>
      <c r="I17" s="70">
        <v>11</v>
      </c>
      <c r="J17" s="70">
        <v>12</v>
      </c>
      <c r="K17" s="104">
        <f t="shared" si="0"/>
        <v>1.6550528706627593E-3</v>
      </c>
    </row>
    <row r="18" spans="1:11" x14ac:dyDescent="0.35">
      <c r="I18" s="70">
        <v>12</v>
      </c>
      <c r="J18" s="70">
        <v>13</v>
      </c>
      <c r="K18" s="104">
        <f t="shared" si="0"/>
        <v>5.3999277302663911E-4</v>
      </c>
    </row>
    <row r="19" spans="1:11" ht="18.5" x14ac:dyDescent="0.45">
      <c r="A19" s="77" t="s">
        <v>113</v>
      </c>
      <c r="I19" s="70">
        <v>13</v>
      </c>
      <c r="K19" s="104">
        <f t="shared" si="0"/>
        <v>1.6263046990948245E-4</v>
      </c>
    </row>
    <row r="20" spans="1:11" ht="16.5" x14ac:dyDescent="0.45">
      <c r="A20" s="69" t="s">
        <v>95</v>
      </c>
      <c r="B20" s="69" t="s">
        <v>94</v>
      </c>
      <c r="C20" s="69" t="s">
        <v>93</v>
      </c>
      <c r="D20" s="69" t="s">
        <v>92</v>
      </c>
      <c r="E20" s="69" t="s">
        <v>91</v>
      </c>
      <c r="F20" s="74" t="s">
        <v>97</v>
      </c>
      <c r="G20" s="87"/>
      <c r="I20" s="70">
        <v>15</v>
      </c>
      <c r="K20" s="104">
        <f t="shared" si="0"/>
        <v>1.1871272263208005E-5</v>
      </c>
    </row>
    <row r="21" spans="1:11" x14ac:dyDescent="0.35">
      <c r="A21" s="3">
        <v>0</v>
      </c>
      <c r="B21" s="3">
        <v>880</v>
      </c>
      <c r="C21" s="68">
        <f>B21-B22</f>
        <v>330</v>
      </c>
      <c r="D21" s="67">
        <f>(1-C21/B21)</f>
        <v>0.625</v>
      </c>
      <c r="E21" s="67">
        <f>-LN(PRODUCT(D21))</f>
        <v>0.47000362924573558</v>
      </c>
    </row>
    <row r="22" spans="1:11" x14ac:dyDescent="0.35">
      <c r="A22" s="3">
        <v>1</v>
      </c>
      <c r="B22" s="3">
        <v>550</v>
      </c>
      <c r="C22" s="68">
        <f>B22-B23</f>
        <v>150</v>
      </c>
      <c r="D22" s="67">
        <f>(1-C22/B22)</f>
        <v>0.72727272727272729</v>
      </c>
      <c r="E22" s="67">
        <f>-LN(PRODUCT(D$21:D22))</f>
        <v>0.78845736036427005</v>
      </c>
      <c r="F22" s="73">
        <f>-(-E22+E21)/1</f>
        <v>0.31845373111853448</v>
      </c>
      <c r="G22" s="88"/>
    </row>
    <row r="23" spans="1:11" x14ac:dyDescent="0.35">
      <c r="A23" s="3">
        <v>2</v>
      </c>
      <c r="B23" s="3">
        <v>400</v>
      </c>
      <c r="C23" s="68">
        <f>B23-B24</f>
        <v>50</v>
      </c>
      <c r="D23" s="67">
        <f>(1-C23/B23)</f>
        <v>0.875</v>
      </c>
      <c r="E23" s="67">
        <f>-LN(PRODUCT(D$21:D23))</f>
        <v>0.92198875298879268</v>
      </c>
      <c r="F23" s="73">
        <f t="shared" ref="F23:F24" si="1">-(-E23+E22)/1</f>
        <v>0.13353139262452263</v>
      </c>
      <c r="G23" s="88"/>
    </row>
    <row r="24" spans="1:11" x14ac:dyDescent="0.35">
      <c r="A24" s="3">
        <v>3</v>
      </c>
      <c r="B24" s="3">
        <v>350</v>
      </c>
      <c r="C24" s="68">
        <f>B24-B25</f>
        <v>250</v>
      </c>
      <c r="D24" s="67">
        <f>(1-C24/B24)</f>
        <v>0.2857142857142857</v>
      </c>
      <c r="E24" s="67">
        <f>-LN(PRODUCT(D$21:D24))</f>
        <v>2.1747517214841605</v>
      </c>
      <c r="F24" s="73">
        <f t="shared" si="1"/>
        <v>1.2527629684953678</v>
      </c>
      <c r="G24" s="88"/>
    </row>
    <row r="25" spans="1:11" ht="14.5" customHeight="1" x14ac:dyDescent="0.35">
      <c r="A25" s="3">
        <v>4</v>
      </c>
      <c r="B25" s="3">
        <v>100</v>
      </c>
      <c r="C25" s="68"/>
      <c r="D25" s="67"/>
      <c r="E25" s="67"/>
    </row>
    <row r="26" spans="1:11" ht="16.5" x14ac:dyDescent="0.45">
      <c r="B26" t="s">
        <v>134</v>
      </c>
      <c r="C26" t="s">
        <v>110</v>
      </c>
      <c r="D26" s="66">
        <f>PRODUCT(D21:D23)</f>
        <v>0.39772727272727276</v>
      </c>
    </row>
    <row r="27" spans="1:11" ht="29" x14ac:dyDescent="0.35">
      <c r="B27" s="65" t="s">
        <v>90</v>
      </c>
      <c r="C27" s="65"/>
      <c r="D27" s="3">
        <v>1.73</v>
      </c>
      <c r="E27" s="3"/>
    </row>
  </sheetData>
  <mergeCells count="2">
    <mergeCell ref="B9:C9"/>
    <mergeCell ref="B11:C1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52"/>
  <sheetViews>
    <sheetView workbookViewId="0">
      <selection activeCell="C6" sqref="C6"/>
    </sheetView>
  </sheetViews>
  <sheetFormatPr defaultRowHeight="14.5" x14ac:dyDescent="0.35"/>
  <cols>
    <col min="3" max="3" width="10.7265625" customWidth="1"/>
    <col min="4" max="4" width="2.54296875" customWidth="1"/>
  </cols>
  <sheetData>
    <row r="1" spans="1:12" x14ac:dyDescent="0.35">
      <c r="A1" t="s">
        <v>118</v>
      </c>
    </row>
    <row r="2" spans="1:12" x14ac:dyDescent="0.35">
      <c r="A2" s="26" t="s">
        <v>121</v>
      </c>
      <c r="G2" s="81" t="s">
        <v>89</v>
      </c>
    </row>
    <row r="3" spans="1:12" ht="29" x14ac:dyDescent="0.35">
      <c r="A3" s="64" t="s">
        <v>5</v>
      </c>
      <c r="B3" s="64" t="s">
        <v>88</v>
      </c>
      <c r="C3" s="63" t="s">
        <v>124</v>
      </c>
      <c r="D3" s="62"/>
      <c r="E3" t="s">
        <v>119</v>
      </c>
    </row>
    <row r="4" spans="1:12" ht="30.5" customHeight="1" x14ac:dyDescent="0.35">
      <c r="A4">
        <v>0</v>
      </c>
      <c r="B4">
        <v>1</v>
      </c>
      <c r="C4" s="71">
        <f>_xlfn.NEGBINOM.DIST(A4,$K$15,$K$16,$K$17)</f>
        <v>0.25</v>
      </c>
      <c r="E4" s="82">
        <f>SUMPRODUCT(B4:B21,C4:C21)</f>
        <v>3.8759703774994705</v>
      </c>
      <c r="G4" s="101"/>
      <c r="H4" s="101"/>
      <c r="I4" s="101"/>
    </row>
    <row r="5" spans="1:12" x14ac:dyDescent="0.35">
      <c r="A5">
        <v>1</v>
      </c>
      <c r="B5">
        <v>2</v>
      </c>
      <c r="C5" s="71">
        <f t="shared" ref="C5:C21" si="0">_xlfn.NEGBINOM.DIST(A5,$K$15,$K$16,$K$17)</f>
        <v>0.1875</v>
      </c>
      <c r="G5" s="61" t="s">
        <v>87</v>
      </c>
      <c r="H5" s="61"/>
      <c r="I5" s="61"/>
    </row>
    <row r="6" spans="1:12" x14ac:dyDescent="0.35">
      <c r="A6">
        <v>2</v>
      </c>
      <c r="B6">
        <v>3</v>
      </c>
      <c r="C6" s="71">
        <f t="shared" si="0"/>
        <v>0.140625</v>
      </c>
      <c r="G6" s="61"/>
      <c r="H6" s="61"/>
      <c r="I6" s="61"/>
    </row>
    <row r="7" spans="1:12" x14ac:dyDescent="0.35">
      <c r="A7">
        <v>3</v>
      </c>
      <c r="B7">
        <v>4</v>
      </c>
      <c r="C7" s="71">
        <f t="shared" si="0"/>
        <v>0.10546875</v>
      </c>
      <c r="E7">
        <f>B7*C7</f>
        <v>0.421875</v>
      </c>
      <c r="G7" s="61"/>
      <c r="H7" s="61"/>
      <c r="I7" s="61"/>
    </row>
    <row r="8" spans="1:12" x14ac:dyDescent="0.35">
      <c r="A8">
        <v>4</v>
      </c>
      <c r="B8">
        <v>5</v>
      </c>
      <c r="C8" s="71">
        <f t="shared" si="0"/>
        <v>7.91015625E-2</v>
      </c>
      <c r="G8" s="61"/>
      <c r="H8" s="61"/>
      <c r="I8" s="61"/>
    </row>
    <row r="9" spans="1:12" x14ac:dyDescent="0.35">
      <c r="A9">
        <v>5</v>
      </c>
      <c r="B9">
        <v>6</v>
      </c>
      <c r="C9" s="71">
        <f t="shared" si="0"/>
        <v>5.9326171875000007E-2</v>
      </c>
      <c r="G9" s="61"/>
      <c r="H9" s="61"/>
      <c r="I9" s="61"/>
    </row>
    <row r="10" spans="1:12" x14ac:dyDescent="0.35">
      <c r="A10">
        <v>6</v>
      </c>
      <c r="B10">
        <v>7</v>
      </c>
      <c r="C10" s="71">
        <f t="shared" si="0"/>
        <v>4.449462890625E-2</v>
      </c>
      <c r="G10" s="61"/>
      <c r="H10" s="61"/>
      <c r="I10" s="61"/>
    </row>
    <row r="11" spans="1:12" x14ac:dyDescent="0.35">
      <c r="A11">
        <v>7</v>
      </c>
      <c r="B11">
        <v>8</v>
      </c>
      <c r="C11" s="71">
        <f t="shared" si="0"/>
        <v>3.3370971679687493E-2</v>
      </c>
      <c r="G11" s="61"/>
      <c r="H11" s="61"/>
      <c r="I11" s="61"/>
    </row>
    <row r="12" spans="1:12" x14ac:dyDescent="0.35">
      <c r="A12">
        <v>8</v>
      </c>
      <c r="B12">
        <v>9</v>
      </c>
      <c r="C12" s="71">
        <f t="shared" si="0"/>
        <v>2.5028228759765632E-2</v>
      </c>
      <c r="D12" s="60"/>
      <c r="G12" s="61"/>
      <c r="H12" s="59"/>
      <c r="I12" s="61"/>
    </row>
    <row r="13" spans="1:12" x14ac:dyDescent="0.35">
      <c r="A13">
        <v>9</v>
      </c>
      <c r="B13">
        <v>10</v>
      </c>
      <c r="C13" s="71">
        <f t="shared" si="0"/>
        <v>1.8771171569824233E-2</v>
      </c>
      <c r="D13" s="60"/>
      <c r="G13" s="61"/>
      <c r="H13" s="59" t="s">
        <v>86</v>
      </c>
      <c r="I13" s="61"/>
    </row>
    <row r="14" spans="1:12" x14ac:dyDescent="0.35">
      <c r="A14">
        <v>10</v>
      </c>
      <c r="B14">
        <v>11</v>
      </c>
      <c r="C14" s="71">
        <f t="shared" si="0"/>
        <v>1.4078378677368173E-2</v>
      </c>
      <c r="D14" s="60"/>
      <c r="G14" s="61"/>
      <c r="H14" s="59" t="s">
        <v>85</v>
      </c>
      <c r="I14" s="61"/>
      <c r="K14">
        <v>0</v>
      </c>
    </row>
    <row r="15" spans="1:12" x14ac:dyDescent="0.35">
      <c r="A15">
        <v>11</v>
      </c>
      <c r="B15">
        <v>12</v>
      </c>
      <c r="C15" s="71">
        <f t="shared" si="0"/>
        <v>1.0558784008026125E-2</v>
      </c>
      <c r="D15" s="60"/>
      <c r="G15" s="61"/>
      <c r="H15" s="59" t="s">
        <v>84</v>
      </c>
      <c r="I15" s="61"/>
      <c r="K15">
        <v>1</v>
      </c>
    </row>
    <row r="16" spans="1:12" x14ac:dyDescent="0.35">
      <c r="A16">
        <v>12</v>
      </c>
      <c r="B16">
        <v>13</v>
      </c>
      <c r="C16" s="71">
        <f t="shared" si="0"/>
        <v>7.919088006019594E-3</v>
      </c>
      <c r="G16" s="102" t="s">
        <v>83</v>
      </c>
      <c r="H16" s="59"/>
      <c r="I16" s="61"/>
      <c r="K16">
        <v>0.25</v>
      </c>
      <c r="L16">
        <f>_xlfn.NEGBINOM.DIST(K14,K15,K16,K17)</f>
        <v>0.25</v>
      </c>
    </row>
    <row r="17" spans="1:11" x14ac:dyDescent="0.35">
      <c r="A17">
        <v>13</v>
      </c>
      <c r="B17">
        <v>14</v>
      </c>
      <c r="C17" s="71">
        <f t="shared" si="0"/>
        <v>5.9393160045146951E-3</v>
      </c>
      <c r="G17" s="102"/>
      <c r="H17" s="59" t="s">
        <v>82</v>
      </c>
      <c r="I17" s="61"/>
      <c r="K17" t="b">
        <v>0</v>
      </c>
    </row>
    <row r="18" spans="1:11" x14ac:dyDescent="0.35">
      <c r="A18">
        <v>14</v>
      </c>
      <c r="B18">
        <v>15</v>
      </c>
      <c r="C18" s="71">
        <f t="shared" si="0"/>
        <v>4.4544870033860215E-3</v>
      </c>
      <c r="G18" s="102" t="s">
        <v>81</v>
      </c>
      <c r="H18" s="59"/>
      <c r="I18" s="61"/>
    </row>
    <row r="19" spans="1:11" x14ac:dyDescent="0.35">
      <c r="A19">
        <v>15</v>
      </c>
      <c r="B19">
        <v>16</v>
      </c>
      <c r="C19" s="71">
        <f t="shared" si="0"/>
        <v>3.3408652525395159E-3</v>
      </c>
      <c r="G19" s="102"/>
      <c r="H19" s="59" t="s">
        <v>80</v>
      </c>
      <c r="I19" s="61"/>
    </row>
    <row r="20" spans="1:11" x14ac:dyDescent="0.35">
      <c r="A20">
        <v>16</v>
      </c>
      <c r="B20">
        <v>17</v>
      </c>
      <c r="C20" s="71">
        <f t="shared" si="0"/>
        <v>2.5056489394046379E-3</v>
      </c>
      <c r="G20" s="103" t="s">
        <v>79</v>
      </c>
      <c r="H20" s="59"/>
      <c r="I20" s="61"/>
    </row>
    <row r="21" spans="1:11" x14ac:dyDescent="0.35">
      <c r="A21">
        <v>17</v>
      </c>
      <c r="B21">
        <v>18</v>
      </c>
      <c r="C21" s="71">
        <f t="shared" si="0"/>
        <v>1.8792367045534781E-3</v>
      </c>
      <c r="G21" s="103"/>
      <c r="H21" s="58" t="s">
        <v>78</v>
      </c>
      <c r="I21" s="61"/>
    </row>
    <row r="22" spans="1:11" x14ac:dyDescent="0.35">
      <c r="G22" s="103" t="s">
        <v>77</v>
      </c>
      <c r="H22" s="59"/>
      <c r="I22" s="61"/>
    </row>
    <row r="23" spans="1:11" x14ac:dyDescent="0.35">
      <c r="C23">
        <f>SUM(C4:C21)</f>
        <v>0.99436228988633957</v>
      </c>
      <c r="G23" s="103"/>
      <c r="H23" s="58" t="s">
        <v>76</v>
      </c>
      <c r="I23" s="61"/>
    </row>
    <row r="24" spans="1:11" x14ac:dyDescent="0.35">
      <c r="G24" s="103"/>
      <c r="H24" s="59"/>
      <c r="I24" s="61"/>
    </row>
    <row r="25" spans="1:11" x14ac:dyDescent="0.35">
      <c r="G25" s="103"/>
      <c r="H25" s="58" t="s">
        <v>75</v>
      </c>
      <c r="I25" s="61"/>
    </row>
    <row r="26" spans="1:11" x14ac:dyDescent="0.35">
      <c r="G26" s="96"/>
      <c r="H26" s="96"/>
    </row>
    <row r="27" spans="1:11" ht="15" thickBot="1" x14ac:dyDescent="0.4">
      <c r="G27" s="97"/>
      <c r="H27" s="97"/>
    </row>
    <row r="28" spans="1:11" x14ac:dyDescent="0.35">
      <c r="G28" s="98"/>
      <c r="H28" s="98"/>
    </row>
    <row r="29" spans="1:11" x14ac:dyDescent="0.35">
      <c r="G29" s="99"/>
      <c r="H29" s="99"/>
    </row>
    <row r="30" spans="1:11" ht="15" thickBot="1" x14ac:dyDescent="0.4">
      <c r="G30" s="100"/>
      <c r="H30" s="100"/>
    </row>
    <row r="31" spans="1:11" ht="15" thickBot="1" x14ac:dyDescent="0.4">
      <c r="G31" s="57" t="s">
        <v>74</v>
      </c>
      <c r="H31" s="56" t="s">
        <v>73</v>
      </c>
    </row>
    <row r="32" spans="1:11" ht="15" thickBot="1" x14ac:dyDescent="0.4">
      <c r="G32" s="54">
        <v>1</v>
      </c>
      <c r="H32" s="55">
        <v>0.1875</v>
      </c>
    </row>
    <row r="33" spans="7:8" ht="15" thickBot="1" x14ac:dyDescent="0.4">
      <c r="G33" s="54">
        <v>2</v>
      </c>
      <c r="H33" s="55">
        <v>0.140625</v>
      </c>
    </row>
    <row r="34" spans="7:8" ht="15" thickBot="1" x14ac:dyDescent="0.4">
      <c r="G34" s="54">
        <v>3</v>
      </c>
      <c r="H34" s="55">
        <v>0.10546875</v>
      </c>
    </row>
    <row r="35" spans="7:8" ht="15" thickBot="1" x14ac:dyDescent="0.4">
      <c r="G35" s="54">
        <v>4</v>
      </c>
      <c r="H35" s="55">
        <v>7.91015625E-2</v>
      </c>
    </row>
    <row r="36" spans="7:8" ht="15" thickBot="1" x14ac:dyDescent="0.4">
      <c r="G36" s="54">
        <v>5</v>
      </c>
      <c r="H36" s="55">
        <v>5.932617188E-2</v>
      </c>
    </row>
    <row r="37" spans="7:8" ht="15" thickBot="1" x14ac:dyDescent="0.4">
      <c r="G37" s="54">
        <v>6</v>
      </c>
      <c r="H37" s="55">
        <v>4.449462891E-2</v>
      </c>
    </row>
    <row r="38" spans="7:8" ht="15" thickBot="1" x14ac:dyDescent="0.4">
      <c r="G38" s="54">
        <v>7</v>
      </c>
      <c r="H38" s="55">
        <v>3.337097168E-2</v>
      </c>
    </row>
    <row r="39" spans="7:8" ht="15" thickBot="1" x14ac:dyDescent="0.4">
      <c r="G39" s="54">
        <v>8</v>
      </c>
      <c r="H39" s="55">
        <v>2.502822876E-2</v>
      </c>
    </row>
    <row r="40" spans="7:8" ht="15" thickBot="1" x14ac:dyDescent="0.4">
      <c r="G40" s="54">
        <v>9</v>
      </c>
      <c r="H40" s="55">
        <v>1.8771171569999998E-2</v>
      </c>
    </row>
    <row r="41" spans="7:8" ht="15" thickBot="1" x14ac:dyDescent="0.4">
      <c r="G41" s="54">
        <v>10</v>
      </c>
      <c r="H41" s="55">
        <v>1.407837868E-2</v>
      </c>
    </row>
    <row r="42" spans="7:8" ht="15" thickBot="1" x14ac:dyDescent="0.4">
      <c r="G42" s="54">
        <v>11</v>
      </c>
      <c r="H42" s="55">
        <v>1.0558784010000001E-2</v>
      </c>
    </row>
    <row r="43" spans="7:8" ht="15" thickBot="1" x14ac:dyDescent="0.4">
      <c r="G43" s="54">
        <v>12</v>
      </c>
      <c r="H43" s="55">
        <v>7.9190880060000003E-3</v>
      </c>
    </row>
    <row r="44" spans="7:8" ht="15" thickBot="1" x14ac:dyDescent="0.4">
      <c r="G44" s="54">
        <v>13</v>
      </c>
      <c r="H44" s="55">
        <v>5.939316004E-3</v>
      </c>
    </row>
    <row r="45" spans="7:8" ht="15" thickBot="1" x14ac:dyDescent="0.4">
      <c r="G45" s="54">
        <v>14</v>
      </c>
      <c r="H45" s="55">
        <v>4.4544870029999996E-3</v>
      </c>
    </row>
    <row r="46" spans="7:8" ht="15" thickBot="1" x14ac:dyDescent="0.4">
      <c r="G46" s="54">
        <v>15</v>
      </c>
      <c r="H46" s="55">
        <v>3.340865252E-3</v>
      </c>
    </row>
    <row r="47" spans="7:8" ht="15" thickBot="1" x14ac:dyDescent="0.4">
      <c r="G47" s="54">
        <v>16</v>
      </c>
      <c r="H47" s="55">
        <v>2.5056489399999998E-3</v>
      </c>
    </row>
    <row r="48" spans="7:8" ht="15" thickBot="1" x14ac:dyDescent="0.4">
      <c r="G48" s="54">
        <v>17</v>
      </c>
      <c r="H48" s="55">
        <v>1.8792367050000001E-3</v>
      </c>
    </row>
    <row r="49" spans="7:8" ht="15" thickBot="1" x14ac:dyDescent="0.4">
      <c r="G49" s="54">
        <v>18</v>
      </c>
      <c r="H49" s="55">
        <v>1.409427528E-3</v>
      </c>
    </row>
    <row r="50" spans="7:8" ht="15" thickBot="1" x14ac:dyDescent="0.4">
      <c r="G50" s="54">
        <v>19</v>
      </c>
      <c r="H50" s="55">
        <v>1.057070646E-3</v>
      </c>
    </row>
    <row r="51" spans="7:8" ht="15" thickBot="1" x14ac:dyDescent="0.4">
      <c r="G51" s="54">
        <v>20</v>
      </c>
      <c r="H51" s="53">
        <v>7.9280298470000004E-4</v>
      </c>
    </row>
    <row r="52" spans="7:8" x14ac:dyDescent="0.35">
      <c r="G52" s="52"/>
    </row>
  </sheetData>
  <mergeCells count="9">
    <mergeCell ref="G26:H27"/>
    <mergeCell ref="G28:H28"/>
    <mergeCell ref="G29:H29"/>
    <mergeCell ref="G30:H30"/>
    <mergeCell ref="G4:I4"/>
    <mergeCell ref="G16:G17"/>
    <mergeCell ref="G18:G19"/>
    <mergeCell ref="G20:G21"/>
    <mergeCell ref="G22:G25"/>
  </mergeCells>
  <hyperlinks>
    <hyperlink ref="G2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5128" r:id="rId4" name="Control 8">
          <controlPr defaultSize="0" r:id="rId5">
            <anchor moveWithCells="1">
              <from>
                <xdr:col>7</xdr:col>
                <xdr:colOff>0</xdr:colOff>
                <xdr:row>23</xdr:row>
                <xdr:rowOff>0</xdr:rowOff>
              </from>
              <to>
                <xdr:col>7</xdr:col>
                <xdr:colOff>406400</xdr:colOff>
                <xdr:row>24</xdr:row>
                <xdr:rowOff>44450</xdr:rowOff>
              </to>
            </anchor>
          </controlPr>
        </control>
      </mc:Choice>
      <mc:Fallback>
        <control shapeId="5128" r:id="rId4" name="Control 8"/>
      </mc:Fallback>
    </mc:AlternateContent>
    <mc:AlternateContent xmlns:mc="http://schemas.openxmlformats.org/markup-compatibility/2006">
      <mc:Choice Requires="x14">
        <control shapeId="5127" r:id="rId6" name="Control 7">
          <controlPr defaultSize="0" r:id="rId7">
            <anchor moveWithCells="1">
              <from>
                <xdr:col>7</xdr:col>
                <xdr:colOff>0</xdr:colOff>
                <xdr:row>21</xdr:row>
                <xdr:rowOff>0</xdr:rowOff>
              </from>
              <to>
                <xdr:col>7</xdr:col>
                <xdr:colOff>406400</xdr:colOff>
                <xdr:row>22</xdr:row>
                <xdr:rowOff>44450</xdr:rowOff>
              </to>
            </anchor>
          </controlPr>
        </control>
      </mc:Choice>
      <mc:Fallback>
        <control shapeId="5127" r:id="rId6" name="Control 7"/>
      </mc:Fallback>
    </mc:AlternateContent>
    <mc:AlternateContent xmlns:mc="http://schemas.openxmlformats.org/markup-compatibility/2006">
      <mc:Choice Requires="x14">
        <control shapeId="5126" r:id="rId8" name="Control 6">
          <controlPr defaultSize="0" r:id="rId9">
            <anchor moveWithCells="1">
              <from>
                <xdr:col>7</xdr:col>
                <xdr:colOff>0</xdr:colOff>
                <xdr:row>19</xdr:row>
                <xdr:rowOff>0</xdr:rowOff>
              </from>
              <to>
                <xdr:col>8</xdr:col>
                <xdr:colOff>50800</xdr:colOff>
                <xdr:row>20</xdr:row>
                <xdr:rowOff>44450</xdr:rowOff>
              </to>
            </anchor>
          </controlPr>
        </control>
      </mc:Choice>
      <mc:Fallback>
        <control shapeId="5126" r:id="rId8" name="Control 6"/>
      </mc:Fallback>
    </mc:AlternateContent>
    <mc:AlternateContent xmlns:mc="http://schemas.openxmlformats.org/markup-compatibility/2006">
      <mc:Choice Requires="x14">
        <control shapeId="5125" r:id="rId10" name="Control 5">
          <controlPr defaultSize="0" r:id="rId11">
            <anchor moveWithCells="1">
              <from>
                <xdr:col>7</xdr:col>
                <xdr:colOff>0</xdr:colOff>
                <xdr:row>17</xdr:row>
                <xdr:rowOff>0</xdr:rowOff>
              </from>
              <to>
                <xdr:col>8</xdr:col>
                <xdr:colOff>50800</xdr:colOff>
                <xdr:row>18</xdr:row>
                <xdr:rowOff>44450</xdr:rowOff>
              </to>
            </anchor>
          </controlPr>
        </control>
      </mc:Choice>
      <mc:Fallback>
        <control shapeId="5125" r:id="rId10" name="Control 5"/>
      </mc:Fallback>
    </mc:AlternateContent>
    <mc:AlternateContent xmlns:mc="http://schemas.openxmlformats.org/markup-compatibility/2006">
      <mc:Choice Requires="x14">
        <control shapeId="5124" r:id="rId12" name="Control 4">
          <controlPr defaultSize="0" r:id="rId13">
            <anchor moveWithCells="1">
              <from>
                <xdr:col>7</xdr:col>
                <xdr:colOff>0</xdr:colOff>
                <xdr:row>15</xdr:row>
                <xdr:rowOff>0</xdr:rowOff>
              </from>
              <to>
                <xdr:col>8</xdr:col>
                <xdr:colOff>50800</xdr:colOff>
                <xdr:row>16</xdr:row>
                <xdr:rowOff>44450</xdr:rowOff>
              </to>
            </anchor>
          </controlPr>
        </control>
      </mc:Choice>
      <mc:Fallback>
        <control shapeId="5124" r:id="rId12" name="Control 4"/>
      </mc:Fallback>
    </mc:AlternateContent>
    <mc:AlternateContent xmlns:mc="http://schemas.openxmlformats.org/markup-compatibility/2006">
      <mc:Choice Requires="x14">
        <control shapeId="5123" r:id="rId14" name="Control 3">
          <controlPr defaultSize="0" r:id="rId15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7</xdr:col>
                <xdr:colOff>209550</xdr:colOff>
                <xdr:row>15</xdr:row>
                <xdr:rowOff>12700</xdr:rowOff>
              </to>
            </anchor>
          </controlPr>
        </control>
      </mc:Choice>
      <mc:Fallback>
        <control shapeId="5123" r:id="rId14" name="Control 3"/>
      </mc:Fallback>
    </mc:AlternateContent>
    <mc:AlternateContent xmlns:mc="http://schemas.openxmlformats.org/markup-compatibility/2006">
      <mc:Choice Requires="x14">
        <control shapeId="5122" r:id="rId16" name="Control 2">
          <controlPr defaultSize="0" r:id="rId15">
            <anchor moveWithCells="1">
              <from>
                <xdr:col>7</xdr:col>
                <xdr:colOff>0</xdr:colOff>
                <xdr:row>13</xdr:row>
                <xdr:rowOff>0</xdr:rowOff>
              </from>
              <to>
                <xdr:col>7</xdr:col>
                <xdr:colOff>209550</xdr:colOff>
                <xdr:row>14</xdr:row>
                <xdr:rowOff>12700</xdr:rowOff>
              </to>
            </anchor>
          </controlPr>
        </control>
      </mc:Choice>
      <mc:Fallback>
        <control shapeId="5122" r:id="rId16" name="Control 2"/>
      </mc:Fallback>
    </mc:AlternateContent>
    <mc:AlternateContent xmlns:mc="http://schemas.openxmlformats.org/markup-compatibility/2006">
      <mc:Choice Requires="x14">
        <control shapeId="5121" r:id="rId17" name="Control 1">
          <controlPr defaultSize="0" r:id="rId18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7</xdr:col>
                <xdr:colOff>209550</xdr:colOff>
                <xdr:row>13</xdr:row>
                <xdr:rowOff>12700</xdr:rowOff>
              </to>
            </anchor>
          </controlPr>
        </control>
      </mc:Choice>
      <mc:Fallback>
        <control shapeId="5121" r:id="rId17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G19" sqref="G19"/>
    </sheetView>
  </sheetViews>
  <sheetFormatPr defaultRowHeight="14.5" x14ac:dyDescent="0.35"/>
  <cols>
    <col min="1" max="1" width="10.90625" customWidth="1"/>
    <col min="3" max="3" width="12.26953125" customWidth="1"/>
  </cols>
  <sheetData>
    <row r="1" spans="1:9" ht="18.5" x14ac:dyDescent="0.45">
      <c r="A1" s="77" t="s">
        <v>116</v>
      </c>
    </row>
    <row r="2" spans="1:9" x14ac:dyDescent="0.35">
      <c r="A2" s="51" t="s">
        <v>72</v>
      </c>
      <c r="B2" s="50" t="s">
        <v>114</v>
      </c>
      <c r="C2" s="50" t="s">
        <v>72</v>
      </c>
      <c r="D2" s="49" t="s">
        <v>114</v>
      </c>
    </row>
    <row r="3" spans="1:9" x14ac:dyDescent="0.35">
      <c r="A3" s="44">
        <v>1</v>
      </c>
      <c r="B3" s="43">
        <f t="shared" ref="B3:B22" ca="1" si="0">RANDBETWEEN(2,10)</f>
        <v>4</v>
      </c>
      <c r="C3" s="43">
        <f>A22+1</f>
        <v>21</v>
      </c>
      <c r="D3" s="42">
        <f t="shared" ref="D3:D22" ca="1" si="1">RANDBETWEEN(2,10)</f>
        <v>7</v>
      </c>
      <c r="F3" t="s">
        <v>71</v>
      </c>
      <c r="G3">
        <f ca="1">COUNT(B:B)+COUNT(D:D)-SUM(G4:G5)</f>
        <v>23</v>
      </c>
    </row>
    <row r="4" spans="1:9" x14ac:dyDescent="0.35">
      <c r="A4" s="44">
        <v>2</v>
      </c>
      <c r="B4" s="43">
        <f t="shared" ca="1" si="0"/>
        <v>3</v>
      </c>
      <c r="C4" s="43">
        <f t="shared" ref="C4:C22" si="2">C3+1</f>
        <v>22</v>
      </c>
      <c r="D4" s="42">
        <f t="shared" ca="1" si="1"/>
        <v>3</v>
      </c>
      <c r="F4" t="s">
        <v>70</v>
      </c>
      <c r="G4">
        <f ca="1">COUNTIF(B:B,H4)+COUNTIF(B:B,I4)+COUNTIF(D:D,H4)+COUNTIF(D:D,I4)</f>
        <v>9</v>
      </c>
      <c r="H4">
        <v>7</v>
      </c>
      <c r="I4">
        <v>8</v>
      </c>
    </row>
    <row r="5" spans="1:9" x14ac:dyDescent="0.35">
      <c r="A5" s="44">
        <v>3</v>
      </c>
      <c r="B5" s="43">
        <f t="shared" ca="1" si="0"/>
        <v>5</v>
      </c>
      <c r="C5" s="43">
        <f t="shared" si="2"/>
        <v>23</v>
      </c>
      <c r="D5" s="42">
        <f t="shared" ca="1" si="1"/>
        <v>8</v>
      </c>
      <c r="F5" t="s">
        <v>69</v>
      </c>
      <c r="G5">
        <f ca="1">COUNTIF(B:B,H5)+COUNTIF(B:B,I5)+COUNTIF(D:D,H5)+COUNTIF(D:D,I5)</f>
        <v>8</v>
      </c>
      <c r="H5">
        <v>9</v>
      </c>
      <c r="I5">
        <v>10</v>
      </c>
    </row>
    <row r="6" spans="1:9" x14ac:dyDescent="0.35">
      <c r="A6" s="44">
        <v>4</v>
      </c>
      <c r="B6" s="43">
        <f t="shared" ca="1" si="0"/>
        <v>4</v>
      </c>
      <c r="C6" s="43">
        <f t="shared" si="2"/>
        <v>24</v>
      </c>
      <c r="D6" s="42">
        <f t="shared" ca="1" si="1"/>
        <v>3</v>
      </c>
      <c r="F6" t="s">
        <v>68</v>
      </c>
      <c r="G6">
        <v>40</v>
      </c>
    </row>
    <row r="7" spans="1:9" x14ac:dyDescent="0.35">
      <c r="A7" s="44">
        <v>5</v>
      </c>
      <c r="B7" s="43">
        <f t="shared" ca="1" si="0"/>
        <v>5</v>
      </c>
      <c r="C7" s="43">
        <f t="shared" si="2"/>
        <v>25</v>
      </c>
      <c r="D7" s="42">
        <f t="shared" ca="1" si="1"/>
        <v>8</v>
      </c>
    </row>
    <row r="8" spans="1:9" x14ac:dyDescent="0.35">
      <c r="A8" s="44">
        <v>6</v>
      </c>
      <c r="B8" s="43">
        <f t="shared" ca="1" si="0"/>
        <v>3</v>
      </c>
      <c r="C8" s="43">
        <f t="shared" si="2"/>
        <v>26</v>
      </c>
      <c r="D8" s="42">
        <f t="shared" ca="1" si="1"/>
        <v>8</v>
      </c>
    </row>
    <row r="9" spans="1:9" x14ac:dyDescent="0.35">
      <c r="A9" s="44">
        <v>7</v>
      </c>
      <c r="B9" s="43">
        <f t="shared" ca="1" si="0"/>
        <v>9</v>
      </c>
      <c r="C9" s="43">
        <f t="shared" si="2"/>
        <v>27</v>
      </c>
      <c r="D9" s="42">
        <f t="shared" ca="1" si="1"/>
        <v>2</v>
      </c>
    </row>
    <row r="10" spans="1:9" x14ac:dyDescent="0.35">
      <c r="A10" s="44">
        <v>8</v>
      </c>
      <c r="B10" s="43">
        <f t="shared" ca="1" si="0"/>
        <v>5</v>
      </c>
      <c r="C10" s="43">
        <f t="shared" si="2"/>
        <v>28</v>
      </c>
      <c r="D10" s="42">
        <f t="shared" ca="1" si="1"/>
        <v>3</v>
      </c>
      <c r="F10" s="48" t="s">
        <v>67</v>
      </c>
      <c r="G10" s="47">
        <f ca="1">(G5-G3)/G6</f>
        <v>-0.375</v>
      </c>
    </row>
    <row r="11" spans="1:9" x14ac:dyDescent="0.35">
      <c r="A11" s="44">
        <v>9</v>
      </c>
      <c r="B11" s="43">
        <f t="shared" ca="1" si="0"/>
        <v>2</v>
      </c>
      <c r="C11" s="43">
        <f t="shared" si="2"/>
        <v>29</v>
      </c>
      <c r="D11" s="42">
        <f t="shared" ca="1" si="1"/>
        <v>10</v>
      </c>
      <c r="F11" s="44" t="s">
        <v>66</v>
      </c>
      <c r="G11" s="46">
        <f ca="1">(1-G10)^2*G5/G6+G10^2*G4/G6+(-1-G10)^2*G3/G6</f>
        <v>0.63437499999999991</v>
      </c>
    </row>
    <row r="12" spans="1:9" x14ac:dyDescent="0.35">
      <c r="A12" s="44">
        <v>10</v>
      </c>
      <c r="B12" s="43">
        <f t="shared" ca="1" si="0"/>
        <v>9</v>
      </c>
      <c r="C12" s="43">
        <f t="shared" si="2"/>
        <v>30</v>
      </c>
      <c r="D12" s="42">
        <f t="shared" ca="1" si="1"/>
        <v>6</v>
      </c>
      <c r="F12" s="41" t="s">
        <v>65</v>
      </c>
      <c r="G12" s="45">
        <f ca="1">SQRT(G11)/SQRT(G6)</f>
        <v>0.12593401049756175</v>
      </c>
    </row>
    <row r="13" spans="1:9" x14ac:dyDescent="0.35">
      <c r="A13" s="44">
        <v>11</v>
      </c>
      <c r="B13" s="43">
        <f t="shared" ca="1" si="0"/>
        <v>10</v>
      </c>
      <c r="C13" s="43">
        <f t="shared" si="2"/>
        <v>31</v>
      </c>
      <c r="D13" s="42">
        <f t="shared" ca="1" si="1"/>
        <v>5</v>
      </c>
    </row>
    <row r="14" spans="1:9" x14ac:dyDescent="0.35">
      <c r="A14" s="44">
        <v>12</v>
      </c>
      <c r="B14" s="43">
        <f t="shared" ca="1" si="0"/>
        <v>2</v>
      </c>
      <c r="C14" s="43">
        <f t="shared" si="2"/>
        <v>32</v>
      </c>
      <c r="D14" s="42">
        <f t="shared" ca="1" si="1"/>
        <v>7</v>
      </c>
      <c r="F14" t="s">
        <v>115</v>
      </c>
    </row>
    <row r="15" spans="1:9" x14ac:dyDescent="0.35">
      <c r="A15" s="44">
        <v>13</v>
      </c>
      <c r="B15" s="43">
        <f t="shared" ca="1" si="0"/>
        <v>8</v>
      </c>
      <c r="C15" s="43">
        <f t="shared" si="2"/>
        <v>33</v>
      </c>
      <c r="D15" s="42">
        <f t="shared" ca="1" si="1"/>
        <v>10</v>
      </c>
    </row>
    <row r="16" spans="1:9" x14ac:dyDescent="0.35">
      <c r="A16" s="44">
        <v>14</v>
      </c>
      <c r="B16" s="43">
        <f t="shared" ca="1" si="0"/>
        <v>2</v>
      </c>
      <c r="C16" s="43">
        <f t="shared" si="2"/>
        <v>34</v>
      </c>
      <c r="D16" s="42">
        <f t="shared" ca="1" si="1"/>
        <v>9</v>
      </c>
    </row>
    <row r="17" spans="1:4" x14ac:dyDescent="0.35">
      <c r="A17" s="44">
        <v>15</v>
      </c>
      <c r="B17" s="43">
        <f t="shared" ca="1" si="0"/>
        <v>8</v>
      </c>
      <c r="C17" s="43">
        <f t="shared" si="2"/>
        <v>35</v>
      </c>
      <c r="D17" s="42">
        <f t="shared" ca="1" si="1"/>
        <v>6</v>
      </c>
    </row>
    <row r="18" spans="1:4" x14ac:dyDescent="0.35">
      <c r="A18" s="44">
        <v>16</v>
      </c>
      <c r="B18" s="43">
        <f t="shared" ca="1" si="0"/>
        <v>6</v>
      </c>
      <c r="C18" s="43">
        <f t="shared" si="2"/>
        <v>36</v>
      </c>
      <c r="D18" s="42">
        <f t="shared" ca="1" si="1"/>
        <v>7</v>
      </c>
    </row>
    <row r="19" spans="1:4" x14ac:dyDescent="0.35">
      <c r="A19" s="44">
        <v>17</v>
      </c>
      <c r="B19" s="43">
        <f t="shared" ca="1" si="0"/>
        <v>2</v>
      </c>
      <c r="C19" s="43">
        <f t="shared" si="2"/>
        <v>37</v>
      </c>
      <c r="D19" s="42">
        <f t="shared" ca="1" si="1"/>
        <v>4</v>
      </c>
    </row>
    <row r="20" spans="1:4" x14ac:dyDescent="0.35">
      <c r="A20" s="44">
        <v>18</v>
      </c>
      <c r="B20" s="43">
        <f t="shared" ca="1" si="0"/>
        <v>5</v>
      </c>
      <c r="C20" s="43">
        <f t="shared" si="2"/>
        <v>38</v>
      </c>
      <c r="D20" s="42">
        <f t="shared" ca="1" si="1"/>
        <v>10</v>
      </c>
    </row>
    <row r="21" spans="1:4" x14ac:dyDescent="0.35">
      <c r="A21" s="44">
        <v>19</v>
      </c>
      <c r="B21" s="43">
        <f t="shared" ca="1" si="0"/>
        <v>8</v>
      </c>
      <c r="C21" s="43">
        <f t="shared" si="2"/>
        <v>39</v>
      </c>
      <c r="D21" s="42">
        <f t="shared" ca="1" si="1"/>
        <v>9</v>
      </c>
    </row>
    <row r="22" spans="1:4" x14ac:dyDescent="0.35">
      <c r="A22" s="41">
        <v>20</v>
      </c>
      <c r="B22" s="40">
        <f t="shared" ca="1" si="0"/>
        <v>2</v>
      </c>
      <c r="C22" s="40">
        <f t="shared" si="2"/>
        <v>40</v>
      </c>
      <c r="D22" s="39">
        <f t="shared" ca="1" si="1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A45" sqref="A45:A46"/>
    </sheetView>
  </sheetViews>
  <sheetFormatPr defaultRowHeight="14.5" x14ac:dyDescent="0.35"/>
  <cols>
    <col min="1" max="1" width="12.81640625" style="1" customWidth="1"/>
    <col min="2" max="7" width="14.54296875" style="1" customWidth="1"/>
  </cols>
  <sheetData>
    <row r="1" spans="1:7" x14ac:dyDescent="0.35">
      <c r="A1" s="75" t="s">
        <v>132</v>
      </c>
      <c r="B1" s="70"/>
      <c r="C1" s="70"/>
      <c r="D1" s="70"/>
      <c r="E1" s="70"/>
      <c r="F1" s="70"/>
      <c r="G1" s="70"/>
    </row>
    <row r="2" spans="1:7" ht="29" customHeight="1" x14ac:dyDescent="0.35">
      <c r="A2" s="2" t="s">
        <v>31</v>
      </c>
      <c r="B2" s="38" t="s">
        <v>38</v>
      </c>
      <c r="C2" s="38" t="s">
        <v>37</v>
      </c>
      <c r="D2" s="38" t="s">
        <v>36</v>
      </c>
      <c r="E2" s="38" t="s">
        <v>35</v>
      </c>
      <c r="F2" s="38" t="s">
        <v>34</v>
      </c>
      <c r="G2" s="38" t="s">
        <v>33</v>
      </c>
    </row>
    <row r="3" spans="1:7" x14ac:dyDescent="0.35">
      <c r="A3" s="2">
        <v>1</v>
      </c>
      <c r="B3" s="2">
        <v>3</v>
      </c>
      <c r="C3" s="2">
        <v>10</v>
      </c>
      <c r="D3" s="2">
        <v>31</v>
      </c>
      <c r="E3" s="2">
        <v>51</v>
      </c>
      <c r="F3" s="2">
        <v>74</v>
      </c>
      <c r="G3" s="2">
        <v>97</v>
      </c>
    </row>
    <row r="4" spans="1:7" x14ac:dyDescent="0.35">
      <c r="A4" s="2">
        <v>2</v>
      </c>
      <c r="B4" s="2">
        <v>44</v>
      </c>
      <c r="C4" s="2">
        <v>50</v>
      </c>
      <c r="D4" s="2">
        <v>75</v>
      </c>
      <c r="E4" s="2">
        <v>97</v>
      </c>
      <c r="F4" s="2">
        <v>118</v>
      </c>
      <c r="G4" s="2">
        <v>140</v>
      </c>
    </row>
    <row r="5" spans="1:7" x14ac:dyDescent="0.35">
      <c r="A5" s="2">
        <v>3</v>
      </c>
      <c r="B5" s="2">
        <v>7</v>
      </c>
      <c r="C5" s="2">
        <v>11</v>
      </c>
      <c r="D5" s="2">
        <v>30</v>
      </c>
      <c r="E5" s="2">
        <v>50</v>
      </c>
      <c r="F5" s="2">
        <v>72</v>
      </c>
      <c r="G5" s="2">
        <v>90</v>
      </c>
    </row>
    <row r="6" spans="1:7" x14ac:dyDescent="0.35">
      <c r="A6" s="2">
        <v>4</v>
      </c>
      <c r="B6" s="2">
        <v>21</v>
      </c>
      <c r="C6" s="2">
        <v>30</v>
      </c>
      <c r="D6" s="2">
        <v>52</v>
      </c>
      <c r="E6" s="2">
        <v>70</v>
      </c>
      <c r="F6" s="2">
        <v>92</v>
      </c>
      <c r="G6" s="2">
        <v>116</v>
      </c>
    </row>
    <row r="7" spans="1:7" x14ac:dyDescent="0.35">
      <c r="A7" s="2">
        <v>5</v>
      </c>
      <c r="B7" s="2">
        <v>37</v>
      </c>
      <c r="C7" s="2">
        <v>44</v>
      </c>
      <c r="D7" s="2">
        <v>65</v>
      </c>
      <c r="E7" s="2">
        <v>81</v>
      </c>
      <c r="F7" s="2">
        <v>104</v>
      </c>
      <c r="G7" s="2">
        <v>127</v>
      </c>
    </row>
    <row r="8" spans="1:7" x14ac:dyDescent="0.35">
      <c r="A8" s="2">
        <v>6</v>
      </c>
      <c r="B8" s="2">
        <v>11</v>
      </c>
      <c r="C8" s="2">
        <v>19</v>
      </c>
      <c r="D8" s="2">
        <v>43</v>
      </c>
      <c r="E8" s="2">
        <v>64</v>
      </c>
      <c r="F8" s="2">
        <v>84</v>
      </c>
      <c r="G8" s="2">
        <v>108</v>
      </c>
    </row>
    <row r="9" spans="1:7" x14ac:dyDescent="0.35">
      <c r="A9" s="2">
        <v>7</v>
      </c>
      <c r="B9" s="2">
        <v>24</v>
      </c>
      <c r="C9" s="2">
        <v>36</v>
      </c>
      <c r="D9" s="2">
        <v>53</v>
      </c>
      <c r="E9" s="2">
        <v>70</v>
      </c>
      <c r="F9" s="2">
        <v>91</v>
      </c>
      <c r="G9" s="2">
        <v>115</v>
      </c>
    </row>
    <row r="10" spans="1:7" x14ac:dyDescent="0.35">
      <c r="A10" s="2">
        <v>8</v>
      </c>
      <c r="B10" s="2">
        <v>32</v>
      </c>
      <c r="C10" s="2">
        <v>39</v>
      </c>
      <c r="D10" s="2">
        <v>62</v>
      </c>
      <c r="E10" s="2">
        <v>83</v>
      </c>
      <c r="F10" s="2">
        <v>104</v>
      </c>
      <c r="G10" s="2">
        <v>126</v>
      </c>
    </row>
    <row r="11" spans="1:7" x14ac:dyDescent="0.35">
      <c r="A11" s="2">
        <v>9</v>
      </c>
      <c r="B11" s="2">
        <v>18</v>
      </c>
      <c r="C11" s="2">
        <v>28</v>
      </c>
      <c r="D11" s="2">
        <v>48</v>
      </c>
      <c r="E11" s="2">
        <v>69</v>
      </c>
      <c r="F11" s="2">
        <v>92</v>
      </c>
      <c r="G11" s="2">
        <v>114</v>
      </c>
    </row>
    <row r="12" spans="1:7" x14ac:dyDescent="0.35">
      <c r="A12" s="2">
        <v>10</v>
      </c>
      <c r="B12" s="2">
        <v>9</v>
      </c>
      <c r="C12" s="2">
        <v>16</v>
      </c>
      <c r="D12" s="2">
        <v>36</v>
      </c>
      <c r="E12" s="2">
        <v>55</v>
      </c>
      <c r="F12" s="2">
        <v>75</v>
      </c>
      <c r="G12" s="2">
        <v>98</v>
      </c>
    </row>
    <row r="14" spans="1:7" ht="43.5" x14ac:dyDescent="0.35">
      <c r="A14" s="2" t="s">
        <v>31</v>
      </c>
      <c r="B14" s="38" t="s">
        <v>30</v>
      </c>
      <c r="C14" s="38" t="s">
        <v>29</v>
      </c>
      <c r="D14" s="38" t="s">
        <v>28</v>
      </c>
      <c r="E14" s="38" t="s">
        <v>27</v>
      </c>
      <c r="F14" s="38" t="s">
        <v>26</v>
      </c>
    </row>
    <row r="15" spans="1:7" x14ac:dyDescent="0.35">
      <c r="A15" s="2">
        <v>1</v>
      </c>
      <c r="B15" s="2">
        <f t="shared" ref="B15:F24" si="0">C3-B3</f>
        <v>7</v>
      </c>
      <c r="C15" s="2">
        <f t="shared" si="0"/>
        <v>21</v>
      </c>
      <c r="D15" s="2">
        <f t="shared" si="0"/>
        <v>20</v>
      </c>
      <c r="E15" s="2">
        <f t="shared" si="0"/>
        <v>23</v>
      </c>
      <c r="F15" s="2">
        <f t="shared" si="0"/>
        <v>23</v>
      </c>
    </row>
    <row r="16" spans="1:7" x14ac:dyDescent="0.35">
      <c r="A16" s="2">
        <v>2</v>
      </c>
      <c r="B16" s="2">
        <f t="shared" si="0"/>
        <v>6</v>
      </c>
      <c r="C16" s="2">
        <f t="shared" si="0"/>
        <v>25</v>
      </c>
      <c r="D16" s="2">
        <f t="shared" si="0"/>
        <v>22</v>
      </c>
      <c r="E16" s="2">
        <f t="shared" si="0"/>
        <v>21</v>
      </c>
      <c r="F16" s="2">
        <f t="shared" si="0"/>
        <v>22</v>
      </c>
    </row>
    <row r="17" spans="1:6" x14ac:dyDescent="0.35">
      <c r="A17" s="2">
        <v>3</v>
      </c>
      <c r="B17" s="2">
        <f t="shared" si="0"/>
        <v>4</v>
      </c>
      <c r="C17" s="2">
        <f t="shared" si="0"/>
        <v>19</v>
      </c>
      <c r="D17" s="2">
        <f t="shared" si="0"/>
        <v>20</v>
      </c>
      <c r="E17" s="2">
        <f t="shared" si="0"/>
        <v>22</v>
      </c>
      <c r="F17" s="2">
        <f t="shared" si="0"/>
        <v>18</v>
      </c>
    </row>
    <row r="18" spans="1:6" x14ac:dyDescent="0.35">
      <c r="A18" s="2">
        <v>4</v>
      </c>
      <c r="B18" s="2">
        <f t="shared" si="0"/>
        <v>9</v>
      </c>
      <c r="C18" s="2">
        <f t="shared" si="0"/>
        <v>22</v>
      </c>
      <c r="D18" s="2">
        <f t="shared" si="0"/>
        <v>18</v>
      </c>
      <c r="E18" s="2">
        <f t="shared" si="0"/>
        <v>22</v>
      </c>
      <c r="F18" s="2">
        <f t="shared" si="0"/>
        <v>24</v>
      </c>
    </row>
    <row r="19" spans="1:6" x14ac:dyDescent="0.35">
      <c r="A19" s="2">
        <v>5</v>
      </c>
      <c r="B19" s="2">
        <f t="shared" si="0"/>
        <v>7</v>
      </c>
      <c r="C19" s="2">
        <f t="shared" si="0"/>
        <v>21</v>
      </c>
      <c r="D19" s="2">
        <f t="shared" si="0"/>
        <v>16</v>
      </c>
      <c r="E19" s="2">
        <f t="shared" si="0"/>
        <v>23</v>
      </c>
      <c r="F19" s="2">
        <f t="shared" si="0"/>
        <v>23</v>
      </c>
    </row>
    <row r="20" spans="1:6" x14ac:dyDescent="0.35">
      <c r="A20" s="2">
        <v>6</v>
      </c>
      <c r="B20" s="2">
        <f t="shared" si="0"/>
        <v>8</v>
      </c>
      <c r="C20" s="2">
        <f t="shared" si="0"/>
        <v>24</v>
      </c>
      <c r="D20" s="2">
        <f t="shared" si="0"/>
        <v>21</v>
      </c>
      <c r="E20" s="2">
        <f t="shared" si="0"/>
        <v>20</v>
      </c>
      <c r="F20" s="2">
        <f t="shared" si="0"/>
        <v>24</v>
      </c>
    </row>
    <row r="21" spans="1:6" x14ac:dyDescent="0.35">
      <c r="A21" s="2">
        <v>7</v>
      </c>
      <c r="B21" s="2">
        <f t="shared" si="0"/>
        <v>12</v>
      </c>
      <c r="C21" s="2">
        <f t="shared" si="0"/>
        <v>17</v>
      </c>
      <c r="D21" s="2">
        <f t="shared" si="0"/>
        <v>17</v>
      </c>
      <c r="E21" s="2">
        <f t="shared" si="0"/>
        <v>21</v>
      </c>
      <c r="F21" s="2">
        <f t="shared" si="0"/>
        <v>24</v>
      </c>
    </row>
    <row r="22" spans="1:6" x14ac:dyDescent="0.35">
      <c r="A22" s="2">
        <v>8</v>
      </c>
      <c r="B22" s="2">
        <f t="shared" si="0"/>
        <v>7</v>
      </c>
      <c r="C22" s="2">
        <f t="shared" si="0"/>
        <v>23</v>
      </c>
      <c r="D22" s="2">
        <f t="shared" si="0"/>
        <v>21</v>
      </c>
      <c r="E22" s="2">
        <f t="shared" si="0"/>
        <v>21</v>
      </c>
      <c r="F22" s="2">
        <f t="shared" si="0"/>
        <v>22</v>
      </c>
    </row>
    <row r="23" spans="1:6" x14ac:dyDescent="0.35">
      <c r="A23" s="2">
        <v>9</v>
      </c>
      <c r="B23" s="2">
        <f t="shared" si="0"/>
        <v>10</v>
      </c>
      <c r="C23" s="2">
        <f t="shared" si="0"/>
        <v>20</v>
      </c>
      <c r="D23" s="2">
        <f t="shared" si="0"/>
        <v>21</v>
      </c>
      <c r="E23" s="2">
        <f t="shared" si="0"/>
        <v>23</v>
      </c>
      <c r="F23" s="2">
        <f t="shared" si="0"/>
        <v>22</v>
      </c>
    </row>
    <row r="24" spans="1:6" x14ac:dyDescent="0.35">
      <c r="A24" s="2">
        <v>10</v>
      </c>
      <c r="B24" s="2">
        <f t="shared" si="0"/>
        <v>7</v>
      </c>
      <c r="C24" s="2">
        <f t="shared" si="0"/>
        <v>20</v>
      </c>
      <c r="D24" s="2">
        <f t="shared" si="0"/>
        <v>19</v>
      </c>
      <c r="E24" s="2">
        <f t="shared" si="0"/>
        <v>20</v>
      </c>
      <c r="F24" s="2">
        <f t="shared" si="0"/>
        <v>23</v>
      </c>
    </row>
    <row r="28" spans="1:6" ht="43.5" x14ac:dyDescent="0.35">
      <c r="B28" s="38" t="s">
        <v>30</v>
      </c>
      <c r="C28" s="38" t="s">
        <v>29</v>
      </c>
      <c r="D28" s="38" t="s">
        <v>28</v>
      </c>
      <c r="E28" s="38" t="s">
        <v>27</v>
      </c>
      <c r="F28" s="38" t="s">
        <v>26</v>
      </c>
    </row>
    <row r="29" spans="1:6" x14ac:dyDescent="0.35">
      <c r="A29" s="1" t="s">
        <v>32</v>
      </c>
      <c r="B29" s="1">
        <f>AVERAGE(B15:B24)</f>
        <v>7.7</v>
      </c>
      <c r="C29" s="1">
        <f>AVERAGE(C15:C24)</f>
        <v>21.2</v>
      </c>
      <c r="D29" s="1">
        <f>AVERAGE(D15:D24)</f>
        <v>19.5</v>
      </c>
      <c r="E29" s="1">
        <f>AVERAGE(E15:E24)</f>
        <v>21.6</v>
      </c>
      <c r="F29" s="1">
        <f>AVERAGE(F15:F24)</f>
        <v>22.5</v>
      </c>
    </row>
    <row r="30" spans="1:6" x14ac:dyDescent="0.35">
      <c r="A30" s="1" t="s">
        <v>60</v>
      </c>
      <c r="B30" s="36">
        <f xml:space="preserve"> STDEV(B15:B24)</f>
        <v>2.213594362117866</v>
      </c>
      <c r="C30" s="36">
        <f xml:space="preserve"> STDEV(C15:C24)</f>
        <v>2.3944379994757377</v>
      </c>
      <c r="D30" s="36">
        <f xml:space="preserve"> STDEV(D15:D24)</f>
        <v>1.9578900207451218</v>
      </c>
      <c r="E30" s="36">
        <v>2</v>
      </c>
      <c r="F30" s="36">
        <f xml:space="preserve"> STDEV(F15:F24)</f>
        <v>1.7795130420052185</v>
      </c>
    </row>
    <row r="31" spans="1:6" x14ac:dyDescent="0.35">
      <c r="A31" s="1" t="s">
        <v>61</v>
      </c>
      <c r="B31" s="36">
        <f>B29+2*B30</f>
        <v>12.127188724235733</v>
      </c>
      <c r="C31" s="36">
        <f>C29+2*C30</f>
        <v>25.988875998951475</v>
      </c>
      <c r="D31" s="36">
        <f>D29+2*D30</f>
        <v>23.415780041490244</v>
      </c>
      <c r="E31" s="36">
        <f>E29+2*E30</f>
        <v>25.6</v>
      </c>
      <c r="F31" s="36">
        <f>F29+2*F30</f>
        <v>26.059026084010437</v>
      </c>
    </row>
    <row r="32" spans="1:6" x14ac:dyDescent="0.35">
      <c r="A32" s="1" t="s">
        <v>62</v>
      </c>
      <c r="B32" s="36">
        <f>B29-2*B30</f>
        <v>3.2728112757642682</v>
      </c>
      <c r="C32" s="36">
        <f>C29-2*C30</f>
        <v>16.411124001048524</v>
      </c>
      <c r="D32" s="36">
        <f>D29-2*D30</f>
        <v>15.584219958509756</v>
      </c>
      <c r="E32" s="36">
        <f>E29-2*E30</f>
        <v>17.600000000000001</v>
      </c>
      <c r="F32" s="36">
        <f>F29-2*F30</f>
        <v>18.940973915989563</v>
      </c>
    </row>
    <row r="36" spans="1:6" ht="43.5" x14ac:dyDescent="0.35">
      <c r="B36" s="38" t="s">
        <v>30</v>
      </c>
      <c r="C36" s="38" t="s">
        <v>29</v>
      </c>
      <c r="D36" s="38" t="s">
        <v>28</v>
      </c>
      <c r="E36" s="38" t="s">
        <v>27</v>
      </c>
      <c r="F36" s="38" t="s">
        <v>26</v>
      </c>
    </row>
    <row r="37" spans="1:6" x14ac:dyDescent="0.35">
      <c r="A37" s="1" t="s">
        <v>32</v>
      </c>
      <c r="B37" s="1">
        <v>7.7</v>
      </c>
      <c r="C37" s="1">
        <v>21.2</v>
      </c>
      <c r="D37" s="1">
        <v>19.5</v>
      </c>
      <c r="E37" s="1">
        <v>21.6</v>
      </c>
      <c r="F37" s="1">
        <v>22.5</v>
      </c>
    </row>
    <row r="38" spans="1:6" x14ac:dyDescent="0.35">
      <c r="A38" s="1" t="s">
        <v>60</v>
      </c>
      <c r="B38" s="37">
        <f>B30</f>
        <v>2.213594362117866</v>
      </c>
      <c r="C38" s="37">
        <f t="shared" ref="C38:F38" si="1">C30</f>
        <v>2.3944379994757377</v>
      </c>
      <c r="D38" s="37">
        <f t="shared" si="1"/>
        <v>1.9578900207451218</v>
      </c>
      <c r="E38" s="37">
        <f t="shared" si="1"/>
        <v>2</v>
      </c>
      <c r="F38" s="37">
        <f t="shared" si="1"/>
        <v>1.7795130420052185</v>
      </c>
    </row>
    <row r="39" spans="1:6" x14ac:dyDescent="0.35">
      <c r="A39" s="1" t="s">
        <v>61</v>
      </c>
      <c r="B39" s="37">
        <f t="shared" ref="B39:F40" si="2">B31</f>
        <v>12.127188724235733</v>
      </c>
      <c r="C39" s="37">
        <f t="shared" si="2"/>
        <v>25.988875998951475</v>
      </c>
      <c r="D39" s="37">
        <f t="shared" si="2"/>
        <v>23.415780041490244</v>
      </c>
      <c r="E39" s="37">
        <f t="shared" si="2"/>
        <v>25.6</v>
      </c>
      <c r="F39" s="37">
        <f t="shared" si="2"/>
        <v>26.059026084010437</v>
      </c>
    </row>
    <row r="40" spans="1:6" x14ac:dyDescent="0.35">
      <c r="A40" s="1" t="s">
        <v>62</v>
      </c>
      <c r="B40" s="37">
        <f t="shared" si="2"/>
        <v>3.2728112757642682</v>
      </c>
      <c r="C40" s="37">
        <f t="shared" si="2"/>
        <v>16.411124001048524</v>
      </c>
      <c r="D40" s="37">
        <f t="shared" si="2"/>
        <v>15.584219958509756</v>
      </c>
      <c r="E40" s="37">
        <f t="shared" si="2"/>
        <v>17.600000000000001</v>
      </c>
      <c r="F40" s="37">
        <f t="shared" si="2"/>
        <v>18.940973915989563</v>
      </c>
    </row>
    <row r="41" spans="1:6" x14ac:dyDescent="0.35">
      <c r="A41" s="2" t="s">
        <v>63</v>
      </c>
      <c r="B41" s="2">
        <v>8</v>
      </c>
      <c r="C41" s="2">
        <v>22</v>
      </c>
      <c r="D41" s="2">
        <v>15</v>
      </c>
      <c r="E41" s="2">
        <v>24</v>
      </c>
      <c r="F41" s="2">
        <v>23</v>
      </c>
    </row>
    <row r="42" spans="1:6" x14ac:dyDescent="0.35">
      <c r="A42" s="2" t="s">
        <v>64</v>
      </c>
      <c r="B42" s="1">
        <v>4</v>
      </c>
      <c r="C42" s="1">
        <v>19</v>
      </c>
      <c r="D42" s="1">
        <v>20</v>
      </c>
      <c r="E42" s="1">
        <v>30</v>
      </c>
      <c r="F42" s="1">
        <v>38</v>
      </c>
    </row>
    <row r="44" spans="1:6" ht="43.5" x14ac:dyDescent="0.35">
      <c r="A44" s="2" t="s">
        <v>31</v>
      </c>
      <c r="B44" s="38" t="s">
        <v>30</v>
      </c>
      <c r="C44" s="38" t="s">
        <v>29</v>
      </c>
      <c r="D44" s="38" t="s">
        <v>28</v>
      </c>
      <c r="E44" s="38" t="s">
        <v>27</v>
      </c>
      <c r="F44" s="38" t="s">
        <v>26</v>
      </c>
    </row>
    <row r="45" spans="1:6" x14ac:dyDescent="0.35">
      <c r="A45" s="2">
        <v>11</v>
      </c>
      <c r="B45" s="2">
        <v>8</v>
      </c>
      <c r="C45" s="2">
        <v>22</v>
      </c>
      <c r="D45" s="2">
        <v>15</v>
      </c>
      <c r="E45" s="2">
        <v>24</v>
      </c>
      <c r="F45" s="2">
        <v>23</v>
      </c>
    </row>
    <row r="46" spans="1:6" x14ac:dyDescent="0.35">
      <c r="A46" s="2">
        <v>12</v>
      </c>
      <c r="B46" s="2">
        <v>4</v>
      </c>
      <c r="C46" s="2">
        <v>19</v>
      </c>
      <c r="D46" s="2">
        <v>20</v>
      </c>
      <c r="E46" s="2">
        <v>30</v>
      </c>
      <c r="F46" s="2">
        <v>38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02"/>
  <sheetViews>
    <sheetView zoomScale="115" zoomScaleNormal="115" workbookViewId="0">
      <pane ySplit="2" topLeftCell="A3" activePane="bottomLeft" state="frozen"/>
      <selection pane="bottomLeft" activeCell="G96" sqref="G10:G96"/>
    </sheetView>
  </sheetViews>
  <sheetFormatPr defaultRowHeight="14.5" x14ac:dyDescent="0.35"/>
  <cols>
    <col min="1" max="1" width="4.90625" customWidth="1"/>
    <col min="2" max="4" width="8.7265625" style="11"/>
    <col min="5" max="7" width="11" style="11" customWidth="1"/>
    <col min="8" max="8" width="6" customWidth="1"/>
    <col min="9" max="9" width="12.08984375" customWidth="1"/>
  </cols>
  <sheetData>
    <row r="1" spans="1:12" x14ac:dyDescent="0.35">
      <c r="A1" s="93" t="s">
        <v>39</v>
      </c>
    </row>
    <row r="2" spans="1:12" x14ac:dyDescent="0.35">
      <c r="A2" s="22" t="s">
        <v>47</v>
      </c>
      <c r="B2" s="22" t="s">
        <v>25</v>
      </c>
      <c r="C2" s="22" t="s">
        <v>24</v>
      </c>
      <c r="D2" s="22" t="s">
        <v>23</v>
      </c>
      <c r="E2" s="22" t="s">
        <v>44</v>
      </c>
      <c r="F2" s="22" t="s">
        <v>45</v>
      </c>
      <c r="G2" s="22" t="s">
        <v>46</v>
      </c>
    </row>
    <row r="3" spans="1:12" x14ac:dyDescent="0.35">
      <c r="A3">
        <v>1</v>
      </c>
      <c r="B3" s="11">
        <v>50</v>
      </c>
      <c r="C3" s="11">
        <v>1</v>
      </c>
      <c r="D3" s="11">
        <v>950</v>
      </c>
      <c r="E3" s="11">
        <f>IF(B3&lt;J$4,4,IF(B3&lt;J$5,3,IF(B3&lt;J$6,2,1)))</f>
        <v>2</v>
      </c>
      <c r="F3" s="11">
        <f t="shared" ref="F3:F34" si="0">IF(C3&lt;K$4,1,IF(C3&lt;K$5,2,IF(C3&lt;K$6,3,4)))</f>
        <v>1</v>
      </c>
      <c r="G3" s="11">
        <f t="shared" ref="G3:G34" si="1">IF(D3&lt;L$4,1,IF(D3&lt;L$5,2,IF(D3&lt;L$6,3,4)))</f>
        <v>4</v>
      </c>
      <c r="J3" t="s">
        <v>25</v>
      </c>
      <c r="K3" t="s">
        <v>24</v>
      </c>
      <c r="L3" t="s">
        <v>23</v>
      </c>
    </row>
    <row r="4" spans="1:12" x14ac:dyDescent="0.35">
      <c r="A4">
        <v>2</v>
      </c>
      <c r="B4" s="11">
        <v>45</v>
      </c>
      <c r="C4" s="11">
        <v>1</v>
      </c>
      <c r="D4" s="11">
        <v>30</v>
      </c>
      <c r="E4" s="11">
        <f t="shared" ref="E4:E67" si="2">IF(B4&lt;J$4,4,IF(B4&lt;J$5,3,IF(B4&lt;J$6,2,1)))</f>
        <v>2</v>
      </c>
      <c r="F4" s="11">
        <f t="shared" si="0"/>
        <v>1</v>
      </c>
      <c r="G4" s="11">
        <f t="shared" si="1"/>
        <v>1</v>
      </c>
      <c r="H4" s="11">
        <v>1</v>
      </c>
      <c r="I4" t="s">
        <v>40</v>
      </c>
      <c r="J4">
        <f t="shared" ref="J4:L7" si="3">_xlfn.QUARTILE.INC(B:B,$H4)</f>
        <v>13.5</v>
      </c>
      <c r="K4">
        <f t="shared" si="3"/>
        <v>4.75</v>
      </c>
      <c r="L4">
        <f t="shared" si="3"/>
        <v>250</v>
      </c>
    </row>
    <row r="5" spans="1:12" x14ac:dyDescent="0.35">
      <c r="A5">
        <v>3</v>
      </c>
      <c r="B5" s="11">
        <v>33</v>
      </c>
      <c r="C5" s="11">
        <v>15</v>
      </c>
      <c r="D5" s="11">
        <v>2430</v>
      </c>
      <c r="E5" s="11">
        <f t="shared" si="2"/>
        <v>3</v>
      </c>
      <c r="F5" s="11">
        <f t="shared" si="0"/>
        <v>4</v>
      </c>
      <c r="G5" s="11">
        <f t="shared" si="1"/>
        <v>4</v>
      </c>
      <c r="H5" s="11">
        <v>2</v>
      </c>
      <c r="I5" t="s">
        <v>41</v>
      </c>
      <c r="J5">
        <f t="shared" si="3"/>
        <v>42</v>
      </c>
      <c r="K5">
        <f t="shared" si="3"/>
        <v>9.5</v>
      </c>
      <c r="L5">
        <f t="shared" si="3"/>
        <v>537.5</v>
      </c>
    </row>
    <row r="6" spans="1:12" x14ac:dyDescent="0.35">
      <c r="A6">
        <v>4</v>
      </c>
      <c r="B6" s="11">
        <v>32</v>
      </c>
      <c r="C6" s="11">
        <v>2</v>
      </c>
      <c r="D6" s="11">
        <v>55</v>
      </c>
      <c r="E6" s="11">
        <f t="shared" si="2"/>
        <v>3</v>
      </c>
      <c r="F6" s="11">
        <f t="shared" si="0"/>
        <v>1</v>
      </c>
      <c r="G6" s="11">
        <f t="shared" si="1"/>
        <v>1</v>
      </c>
      <c r="H6" s="11">
        <v>3</v>
      </c>
      <c r="I6" t="s">
        <v>42</v>
      </c>
      <c r="J6">
        <f t="shared" si="3"/>
        <v>69.75</v>
      </c>
      <c r="K6">
        <f t="shared" si="3"/>
        <v>14</v>
      </c>
      <c r="L6">
        <f t="shared" si="3"/>
        <v>779.25</v>
      </c>
    </row>
    <row r="7" spans="1:12" x14ac:dyDescent="0.35">
      <c r="A7">
        <v>5</v>
      </c>
      <c r="B7" s="11">
        <v>24</v>
      </c>
      <c r="C7" s="11">
        <v>3</v>
      </c>
      <c r="D7" s="11">
        <v>54</v>
      </c>
      <c r="E7" s="11">
        <f t="shared" si="2"/>
        <v>3</v>
      </c>
      <c r="F7" s="11">
        <f t="shared" si="0"/>
        <v>1</v>
      </c>
      <c r="G7" s="11">
        <f t="shared" si="1"/>
        <v>1</v>
      </c>
      <c r="H7" s="11">
        <v>4</v>
      </c>
      <c r="I7" t="s">
        <v>43</v>
      </c>
      <c r="J7">
        <f t="shared" si="3"/>
        <v>98</v>
      </c>
      <c r="K7">
        <f t="shared" si="3"/>
        <v>20</v>
      </c>
      <c r="L7">
        <f t="shared" si="3"/>
        <v>2430</v>
      </c>
    </row>
    <row r="8" spans="1:12" x14ac:dyDescent="0.35">
      <c r="A8">
        <v>6</v>
      </c>
      <c r="B8" s="11">
        <v>21</v>
      </c>
      <c r="C8" s="11">
        <v>2</v>
      </c>
      <c r="D8" s="11">
        <v>64</v>
      </c>
      <c r="E8" s="11">
        <f t="shared" si="2"/>
        <v>3</v>
      </c>
      <c r="F8" s="11">
        <f t="shared" si="0"/>
        <v>1</v>
      </c>
      <c r="G8" s="11">
        <f t="shared" si="1"/>
        <v>1</v>
      </c>
    </row>
    <row r="9" spans="1:12" x14ac:dyDescent="0.35">
      <c r="A9">
        <v>7</v>
      </c>
      <c r="B9" s="11">
        <v>17</v>
      </c>
      <c r="C9" s="11">
        <v>2</v>
      </c>
      <c r="D9" s="11">
        <v>44</v>
      </c>
      <c r="E9" s="11">
        <f t="shared" si="2"/>
        <v>3</v>
      </c>
      <c r="F9" s="11">
        <f t="shared" si="0"/>
        <v>1</v>
      </c>
      <c r="G9" s="11">
        <f t="shared" si="1"/>
        <v>1</v>
      </c>
    </row>
    <row r="10" spans="1:12" x14ac:dyDescent="0.35">
      <c r="A10">
        <v>8</v>
      </c>
      <c r="B10" s="11">
        <v>12</v>
      </c>
      <c r="C10" s="11">
        <v>4</v>
      </c>
      <c r="D10" s="11">
        <v>169</v>
      </c>
      <c r="E10" s="11">
        <f t="shared" si="2"/>
        <v>4</v>
      </c>
      <c r="F10" s="11">
        <f t="shared" si="0"/>
        <v>1</v>
      </c>
      <c r="G10" s="11">
        <f t="shared" si="1"/>
        <v>1</v>
      </c>
    </row>
    <row r="11" spans="1:12" x14ac:dyDescent="0.35">
      <c r="A11">
        <v>9</v>
      </c>
      <c r="B11" s="11">
        <v>10</v>
      </c>
      <c r="C11" s="11">
        <v>5</v>
      </c>
      <c r="D11" s="11">
        <v>190</v>
      </c>
      <c r="E11" s="11">
        <f t="shared" si="2"/>
        <v>4</v>
      </c>
      <c r="F11" s="11">
        <f t="shared" si="0"/>
        <v>2</v>
      </c>
      <c r="G11" s="11">
        <f t="shared" si="1"/>
        <v>1</v>
      </c>
    </row>
    <row r="12" spans="1:12" x14ac:dyDescent="0.35">
      <c r="A12">
        <v>10</v>
      </c>
      <c r="B12" s="11">
        <v>6</v>
      </c>
      <c r="C12" s="11">
        <v>10</v>
      </c>
      <c r="D12" s="11">
        <v>940</v>
      </c>
      <c r="E12" s="11">
        <f t="shared" si="2"/>
        <v>4</v>
      </c>
      <c r="F12" s="11">
        <f t="shared" si="0"/>
        <v>3</v>
      </c>
      <c r="G12" s="11">
        <f t="shared" si="1"/>
        <v>4</v>
      </c>
    </row>
    <row r="13" spans="1:12" x14ac:dyDescent="0.35">
      <c r="A13">
        <v>11</v>
      </c>
      <c r="B13" s="11">
        <v>5</v>
      </c>
      <c r="C13" s="11">
        <v>8</v>
      </c>
      <c r="D13" s="11">
        <v>840</v>
      </c>
      <c r="E13" s="11">
        <f t="shared" si="2"/>
        <v>4</v>
      </c>
      <c r="F13" s="11">
        <f t="shared" si="0"/>
        <v>2</v>
      </c>
      <c r="G13" s="11">
        <f t="shared" si="1"/>
        <v>4</v>
      </c>
    </row>
    <row r="14" spans="1:12" x14ac:dyDescent="0.35">
      <c r="A14">
        <v>12</v>
      </c>
      <c r="B14" s="11">
        <v>5</v>
      </c>
      <c r="C14" s="11">
        <v>3</v>
      </c>
      <c r="D14" s="11">
        <v>130</v>
      </c>
      <c r="E14" s="11">
        <f t="shared" si="2"/>
        <v>4</v>
      </c>
      <c r="F14" s="11">
        <f t="shared" si="0"/>
        <v>1</v>
      </c>
      <c r="G14" s="11">
        <f t="shared" si="1"/>
        <v>1</v>
      </c>
    </row>
    <row r="15" spans="1:12" x14ac:dyDescent="0.35">
      <c r="A15">
        <v>13</v>
      </c>
      <c r="B15" s="11">
        <v>4</v>
      </c>
      <c r="C15" s="11">
        <v>1</v>
      </c>
      <c r="D15" s="11">
        <v>32</v>
      </c>
      <c r="E15" s="11">
        <f t="shared" si="2"/>
        <v>4</v>
      </c>
      <c r="F15" s="11">
        <f t="shared" si="0"/>
        <v>1</v>
      </c>
      <c r="G15" s="11">
        <f t="shared" si="1"/>
        <v>1</v>
      </c>
    </row>
    <row r="16" spans="1:12" x14ac:dyDescent="0.35">
      <c r="A16">
        <v>14</v>
      </c>
      <c r="B16" s="11">
        <v>3</v>
      </c>
      <c r="C16" s="11">
        <v>6</v>
      </c>
      <c r="D16" s="11">
        <v>540</v>
      </c>
      <c r="E16" s="11">
        <f t="shared" si="2"/>
        <v>4</v>
      </c>
      <c r="F16" s="11">
        <f t="shared" si="0"/>
        <v>2</v>
      </c>
      <c r="G16" s="11">
        <f t="shared" si="1"/>
        <v>3</v>
      </c>
    </row>
    <row r="17" spans="1:7" x14ac:dyDescent="0.35">
      <c r="A17">
        <v>15</v>
      </c>
      <c r="B17" s="11">
        <v>1</v>
      </c>
      <c r="C17" s="11">
        <v>12</v>
      </c>
      <c r="D17" s="11">
        <v>1410</v>
      </c>
      <c r="E17" s="11">
        <f t="shared" si="2"/>
        <v>4</v>
      </c>
      <c r="F17" s="11">
        <f t="shared" si="0"/>
        <v>3</v>
      </c>
      <c r="G17" s="11">
        <f t="shared" si="1"/>
        <v>4</v>
      </c>
    </row>
    <row r="18" spans="1:7" x14ac:dyDescent="0.35">
      <c r="A18">
        <v>16</v>
      </c>
      <c r="B18" s="11">
        <v>22</v>
      </c>
      <c r="C18" s="11">
        <v>7</v>
      </c>
      <c r="D18" s="11">
        <v>918</v>
      </c>
      <c r="E18" s="11">
        <f t="shared" si="2"/>
        <v>3</v>
      </c>
      <c r="F18" s="11">
        <f t="shared" si="0"/>
        <v>2</v>
      </c>
      <c r="G18" s="11">
        <f t="shared" si="1"/>
        <v>4</v>
      </c>
    </row>
    <row r="19" spans="1:7" x14ac:dyDescent="0.35">
      <c r="A19">
        <v>17</v>
      </c>
      <c r="B19" s="11">
        <v>33</v>
      </c>
      <c r="C19" s="11">
        <v>10</v>
      </c>
      <c r="D19" s="11">
        <v>849</v>
      </c>
      <c r="E19" s="11">
        <f t="shared" si="2"/>
        <v>3</v>
      </c>
      <c r="F19" s="11">
        <f t="shared" si="0"/>
        <v>3</v>
      </c>
      <c r="G19" s="11">
        <f t="shared" si="1"/>
        <v>4</v>
      </c>
    </row>
    <row r="20" spans="1:7" x14ac:dyDescent="0.35">
      <c r="A20">
        <v>18</v>
      </c>
      <c r="B20" s="11">
        <v>90</v>
      </c>
      <c r="C20" s="11">
        <v>3</v>
      </c>
      <c r="D20" s="11">
        <v>823</v>
      </c>
      <c r="E20" s="11">
        <f t="shared" si="2"/>
        <v>1</v>
      </c>
      <c r="F20" s="11">
        <f t="shared" si="0"/>
        <v>1</v>
      </c>
      <c r="G20" s="11">
        <f t="shared" si="1"/>
        <v>4</v>
      </c>
    </row>
    <row r="21" spans="1:7" x14ac:dyDescent="0.35">
      <c r="A21">
        <v>19</v>
      </c>
      <c r="B21" s="11">
        <v>60</v>
      </c>
      <c r="C21" s="11">
        <v>16</v>
      </c>
      <c r="D21" s="11">
        <v>156</v>
      </c>
      <c r="E21" s="11">
        <f t="shared" si="2"/>
        <v>2</v>
      </c>
      <c r="F21" s="11">
        <f t="shared" si="0"/>
        <v>4</v>
      </c>
      <c r="G21" s="11">
        <f t="shared" si="1"/>
        <v>1</v>
      </c>
    </row>
    <row r="22" spans="1:7" x14ac:dyDescent="0.35">
      <c r="A22">
        <v>20</v>
      </c>
      <c r="B22" s="11">
        <v>61</v>
      </c>
      <c r="C22" s="11">
        <v>2</v>
      </c>
      <c r="D22" s="11">
        <v>250</v>
      </c>
      <c r="E22" s="11">
        <f t="shared" si="2"/>
        <v>2</v>
      </c>
      <c r="F22" s="11">
        <f t="shared" si="0"/>
        <v>1</v>
      </c>
      <c r="G22" s="11">
        <f t="shared" si="1"/>
        <v>2</v>
      </c>
    </row>
    <row r="23" spans="1:7" x14ac:dyDescent="0.35">
      <c r="A23">
        <v>21</v>
      </c>
      <c r="B23" s="11">
        <v>74</v>
      </c>
      <c r="C23" s="11">
        <v>14</v>
      </c>
      <c r="D23" s="11">
        <v>380</v>
      </c>
      <c r="E23" s="11">
        <f t="shared" si="2"/>
        <v>1</v>
      </c>
      <c r="F23" s="11">
        <f t="shared" si="0"/>
        <v>4</v>
      </c>
      <c r="G23" s="11">
        <f t="shared" si="1"/>
        <v>2</v>
      </c>
    </row>
    <row r="24" spans="1:7" x14ac:dyDescent="0.35">
      <c r="A24">
        <v>22</v>
      </c>
      <c r="B24" s="11">
        <v>95</v>
      </c>
      <c r="C24" s="11">
        <v>2</v>
      </c>
      <c r="D24" s="11">
        <v>658</v>
      </c>
      <c r="E24" s="11">
        <f t="shared" si="2"/>
        <v>1</v>
      </c>
      <c r="F24" s="11">
        <f t="shared" si="0"/>
        <v>1</v>
      </c>
      <c r="G24" s="11">
        <f t="shared" si="1"/>
        <v>3</v>
      </c>
    </row>
    <row r="25" spans="1:7" x14ac:dyDescent="0.35">
      <c r="A25">
        <v>23</v>
      </c>
      <c r="B25" s="11">
        <v>42</v>
      </c>
      <c r="C25" s="11">
        <v>16</v>
      </c>
      <c r="D25" s="11">
        <v>501</v>
      </c>
      <c r="E25" s="11">
        <f t="shared" si="2"/>
        <v>2</v>
      </c>
      <c r="F25" s="11">
        <f t="shared" si="0"/>
        <v>4</v>
      </c>
      <c r="G25" s="11">
        <f t="shared" si="1"/>
        <v>2</v>
      </c>
    </row>
    <row r="26" spans="1:7" s="12" customFormat="1" x14ac:dyDescent="0.35">
      <c r="A26">
        <v>24</v>
      </c>
      <c r="B26" s="11">
        <v>98</v>
      </c>
      <c r="C26" s="11">
        <v>20</v>
      </c>
      <c r="D26" s="11">
        <v>883</v>
      </c>
      <c r="E26" s="11">
        <f t="shared" si="2"/>
        <v>1</v>
      </c>
      <c r="F26" s="11">
        <f t="shared" si="0"/>
        <v>4</v>
      </c>
      <c r="G26" s="11">
        <f t="shared" si="1"/>
        <v>4</v>
      </c>
    </row>
    <row r="27" spans="1:7" x14ac:dyDescent="0.35">
      <c r="A27">
        <v>25</v>
      </c>
      <c r="B27" s="11">
        <v>84</v>
      </c>
      <c r="C27" s="11">
        <v>2</v>
      </c>
      <c r="D27" s="11">
        <v>733</v>
      </c>
      <c r="E27" s="11">
        <f t="shared" si="2"/>
        <v>1</v>
      </c>
      <c r="F27" s="11">
        <f t="shared" si="0"/>
        <v>1</v>
      </c>
      <c r="G27" s="11">
        <f t="shared" si="1"/>
        <v>3</v>
      </c>
    </row>
    <row r="28" spans="1:7" x14ac:dyDescent="0.35">
      <c r="A28">
        <v>26</v>
      </c>
      <c r="B28" s="11">
        <v>86</v>
      </c>
      <c r="C28" s="11">
        <v>17</v>
      </c>
      <c r="D28" s="11">
        <v>645</v>
      </c>
      <c r="E28" s="11">
        <f t="shared" si="2"/>
        <v>1</v>
      </c>
      <c r="F28" s="11">
        <f t="shared" si="0"/>
        <v>4</v>
      </c>
      <c r="G28" s="11">
        <f t="shared" si="1"/>
        <v>3</v>
      </c>
    </row>
    <row r="29" spans="1:7" x14ac:dyDescent="0.35">
      <c r="A29">
        <v>27</v>
      </c>
      <c r="B29" s="11">
        <v>18</v>
      </c>
      <c r="C29" s="11">
        <v>2</v>
      </c>
      <c r="D29" s="11">
        <v>186</v>
      </c>
      <c r="E29" s="11">
        <f t="shared" si="2"/>
        <v>3</v>
      </c>
      <c r="F29" s="11">
        <f t="shared" si="0"/>
        <v>1</v>
      </c>
      <c r="G29" s="11">
        <f t="shared" si="1"/>
        <v>1</v>
      </c>
    </row>
    <row r="30" spans="1:7" x14ac:dyDescent="0.35">
      <c r="A30">
        <v>28</v>
      </c>
      <c r="B30" s="11">
        <v>69</v>
      </c>
      <c r="C30" s="11">
        <v>7</v>
      </c>
      <c r="D30" s="11">
        <v>126</v>
      </c>
      <c r="E30" s="11">
        <f t="shared" si="2"/>
        <v>2</v>
      </c>
      <c r="F30" s="11">
        <f t="shared" si="0"/>
        <v>2</v>
      </c>
      <c r="G30" s="11">
        <f t="shared" si="1"/>
        <v>1</v>
      </c>
    </row>
    <row r="31" spans="1:7" x14ac:dyDescent="0.35">
      <c r="A31">
        <v>29</v>
      </c>
      <c r="B31" s="11">
        <v>88</v>
      </c>
      <c r="C31" s="11">
        <v>5</v>
      </c>
      <c r="D31" s="11">
        <v>1000</v>
      </c>
      <c r="E31" s="11">
        <f t="shared" si="2"/>
        <v>1</v>
      </c>
      <c r="F31" s="11">
        <f t="shared" si="0"/>
        <v>2</v>
      </c>
      <c r="G31" s="11">
        <f t="shared" si="1"/>
        <v>4</v>
      </c>
    </row>
    <row r="32" spans="1:7" x14ac:dyDescent="0.35">
      <c r="A32">
        <v>30</v>
      </c>
      <c r="B32" s="11">
        <v>19</v>
      </c>
      <c r="C32" s="11">
        <v>18</v>
      </c>
      <c r="D32" s="11">
        <v>405</v>
      </c>
      <c r="E32" s="11">
        <f t="shared" si="2"/>
        <v>3</v>
      </c>
      <c r="F32" s="11">
        <f t="shared" si="0"/>
        <v>4</v>
      </c>
      <c r="G32" s="11">
        <f t="shared" si="1"/>
        <v>2</v>
      </c>
    </row>
    <row r="33" spans="1:7" x14ac:dyDescent="0.35">
      <c r="A33">
        <v>31</v>
      </c>
      <c r="B33" s="11">
        <v>81</v>
      </c>
      <c r="C33" s="11">
        <v>20</v>
      </c>
      <c r="D33" s="11">
        <v>201</v>
      </c>
      <c r="E33" s="11">
        <f t="shared" si="2"/>
        <v>1</v>
      </c>
      <c r="F33" s="11">
        <f t="shared" si="0"/>
        <v>4</v>
      </c>
      <c r="G33" s="11">
        <f t="shared" si="1"/>
        <v>1</v>
      </c>
    </row>
    <row r="34" spans="1:7" x14ac:dyDescent="0.35">
      <c r="A34">
        <v>32</v>
      </c>
      <c r="B34" s="11">
        <v>35</v>
      </c>
      <c r="C34" s="11">
        <v>2</v>
      </c>
      <c r="D34" s="11">
        <v>529</v>
      </c>
      <c r="E34" s="11">
        <f t="shared" si="2"/>
        <v>3</v>
      </c>
      <c r="F34" s="11">
        <f t="shared" si="0"/>
        <v>1</v>
      </c>
      <c r="G34" s="11">
        <f t="shared" si="1"/>
        <v>2</v>
      </c>
    </row>
    <row r="35" spans="1:7" x14ac:dyDescent="0.35">
      <c r="A35">
        <v>33</v>
      </c>
      <c r="B35" s="11">
        <v>17</v>
      </c>
      <c r="C35" s="11">
        <v>17</v>
      </c>
      <c r="D35" s="11">
        <v>765</v>
      </c>
      <c r="E35" s="11">
        <f t="shared" si="2"/>
        <v>3</v>
      </c>
      <c r="F35" s="11">
        <f t="shared" ref="F35:F66" si="4">IF(C35&lt;K$4,1,IF(C35&lt;K$5,2,IF(C35&lt;K$6,3,4)))</f>
        <v>4</v>
      </c>
      <c r="G35" s="11">
        <f t="shared" ref="G35:G66" si="5">IF(D35&lt;L$4,1,IF(D35&lt;L$5,2,IF(D35&lt;L$6,3,4)))</f>
        <v>3</v>
      </c>
    </row>
    <row r="36" spans="1:7" x14ac:dyDescent="0.35">
      <c r="A36">
        <v>34</v>
      </c>
      <c r="B36" s="11">
        <v>15</v>
      </c>
      <c r="C36" s="11">
        <v>12</v>
      </c>
      <c r="D36" s="11">
        <v>377</v>
      </c>
      <c r="E36" s="11">
        <f t="shared" si="2"/>
        <v>3</v>
      </c>
      <c r="F36" s="11">
        <f t="shared" si="4"/>
        <v>3</v>
      </c>
      <c r="G36" s="11">
        <f t="shared" si="5"/>
        <v>2</v>
      </c>
    </row>
    <row r="37" spans="1:7" x14ac:dyDescent="0.35">
      <c r="A37">
        <v>35</v>
      </c>
      <c r="B37" s="11">
        <v>63</v>
      </c>
      <c r="C37" s="11">
        <v>10</v>
      </c>
      <c r="D37" s="11">
        <v>556</v>
      </c>
      <c r="E37" s="11">
        <f t="shared" si="2"/>
        <v>2</v>
      </c>
      <c r="F37" s="11">
        <f t="shared" si="4"/>
        <v>3</v>
      </c>
      <c r="G37" s="11">
        <f t="shared" si="5"/>
        <v>3</v>
      </c>
    </row>
    <row r="38" spans="1:7" x14ac:dyDescent="0.35">
      <c r="A38">
        <v>36</v>
      </c>
      <c r="B38" s="11">
        <v>90</v>
      </c>
      <c r="C38" s="11">
        <v>11</v>
      </c>
      <c r="D38" s="11">
        <v>778</v>
      </c>
      <c r="E38" s="11">
        <f t="shared" si="2"/>
        <v>1</v>
      </c>
      <c r="F38" s="11">
        <f t="shared" si="4"/>
        <v>3</v>
      </c>
      <c r="G38" s="11">
        <f t="shared" si="5"/>
        <v>3</v>
      </c>
    </row>
    <row r="39" spans="1:7" x14ac:dyDescent="0.35">
      <c r="A39">
        <v>37</v>
      </c>
      <c r="B39" s="11">
        <v>76</v>
      </c>
      <c r="C39" s="11">
        <v>7</v>
      </c>
      <c r="D39" s="11">
        <v>149</v>
      </c>
      <c r="E39" s="11">
        <f t="shared" si="2"/>
        <v>1</v>
      </c>
      <c r="F39" s="11">
        <f t="shared" si="4"/>
        <v>2</v>
      </c>
      <c r="G39" s="11">
        <f t="shared" si="5"/>
        <v>1</v>
      </c>
    </row>
    <row r="40" spans="1:7" x14ac:dyDescent="0.35">
      <c r="A40">
        <v>38</v>
      </c>
      <c r="B40" s="11">
        <v>79</v>
      </c>
      <c r="C40" s="11">
        <v>18</v>
      </c>
      <c r="D40" s="11">
        <v>306</v>
      </c>
      <c r="E40" s="11">
        <f t="shared" si="2"/>
        <v>1</v>
      </c>
      <c r="F40" s="11">
        <f t="shared" si="4"/>
        <v>4</v>
      </c>
      <c r="G40" s="11">
        <f t="shared" si="5"/>
        <v>2</v>
      </c>
    </row>
    <row r="41" spans="1:7" x14ac:dyDescent="0.35">
      <c r="A41">
        <v>39</v>
      </c>
      <c r="B41" s="11">
        <v>31</v>
      </c>
      <c r="C41" s="11">
        <v>2</v>
      </c>
      <c r="D41" s="11">
        <v>760</v>
      </c>
      <c r="E41" s="11">
        <f t="shared" si="2"/>
        <v>3</v>
      </c>
      <c r="F41" s="11">
        <f t="shared" si="4"/>
        <v>1</v>
      </c>
      <c r="G41" s="11">
        <f t="shared" si="5"/>
        <v>3</v>
      </c>
    </row>
    <row r="42" spans="1:7" x14ac:dyDescent="0.35">
      <c r="A42">
        <v>40</v>
      </c>
      <c r="B42" s="11">
        <v>84</v>
      </c>
      <c r="C42" s="11">
        <v>13</v>
      </c>
      <c r="D42" s="11">
        <v>753</v>
      </c>
      <c r="E42" s="11">
        <f t="shared" si="2"/>
        <v>1</v>
      </c>
      <c r="F42" s="11">
        <f t="shared" si="4"/>
        <v>3</v>
      </c>
      <c r="G42" s="11">
        <f t="shared" si="5"/>
        <v>3</v>
      </c>
    </row>
    <row r="43" spans="1:7" x14ac:dyDescent="0.35">
      <c r="A43">
        <v>41</v>
      </c>
      <c r="B43" s="11">
        <v>60</v>
      </c>
      <c r="C43" s="11">
        <v>11</v>
      </c>
      <c r="D43" s="11">
        <v>753</v>
      </c>
      <c r="E43" s="11">
        <f t="shared" si="2"/>
        <v>2</v>
      </c>
      <c r="F43" s="11">
        <f t="shared" si="4"/>
        <v>3</v>
      </c>
      <c r="G43" s="11">
        <f t="shared" si="5"/>
        <v>3</v>
      </c>
    </row>
    <row r="44" spans="1:7" x14ac:dyDescent="0.35">
      <c r="A44">
        <v>42</v>
      </c>
      <c r="B44" s="11">
        <v>83</v>
      </c>
      <c r="C44" s="11">
        <v>10</v>
      </c>
      <c r="D44" s="11">
        <v>535</v>
      </c>
      <c r="E44" s="11">
        <f t="shared" si="2"/>
        <v>1</v>
      </c>
      <c r="F44" s="11">
        <f t="shared" si="4"/>
        <v>3</v>
      </c>
      <c r="G44" s="11">
        <f t="shared" si="5"/>
        <v>2</v>
      </c>
    </row>
    <row r="45" spans="1:7" x14ac:dyDescent="0.35">
      <c r="A45">
        <v>43</v>
      </c>
      <c r="B45" s="11">
        <v>83</v>
      </c>
      <c r="C45" s="11">
        <v>12</v>
      </c>
      <c r="D45" s="11">
        <v>707</v>
      </c>
      <c r="E45" s="11">
        <f t="shared" si="2"/>
        <v>1</v>
      </c>
      <c r="F45" s="11">
        <f t="shared" si="4"/>
        <v>3</v>
      </c>
      <c r="G45" s="11">
        <f t="shared" si="5"/>
        <v>3</v>
      </c>
    </row>
    <row r="46" spans="1:7" x14ac:dyDescent="0.35">
      <c r="A46">
        <v>44</v>
      </c>
      <c r="B46" s="11">
        <v>79</v>
      </c>
      <c r="C46" s="11">
        <v>2</v>
      </c>
      <c r="D46" s="11">
        <v>205</v>
      </c>
      <c r="E46" s="11">
        <f t="shared" si="2"/>
        <v>1</v>
      </c>
      <c r="F46" s="11">
        <f t="shared" si="4"/>
        <v>1</v>
      </c>
      <c r="G46" s="11">
        <f t="shared" si="5"/>
        <v>1</v>
      </c>
    </row>
    <row r="47" spans="1:7" x14ac:dyDescent="0.35">
      <c r="A47">
        <v>45</v>
      </c>
      <c r="B47" s="11">
        <v>6</v>
      </c>
      <c r="C47" s="11">
        <v>16</v>
      </c>
      <c r="D47" s="11">
        <v>554</v>
      </c>
      <c r="E47" s="11">
        <f t="shared" si="2"/>
        <v>4</v>
      </c>
      <c r="F47" s="11">
        <f t="shared" si="4"/>
        <v>4</v>
      </c>
      <c r="G47" s="11">
        <f t="shared" si="5"/>
        <v>3</v>
      </c>
    </row>
    <row r="48" spans="1:7" x14ac:dyDescent="0.35">
      <c r="A48">
        <v>46</v>
      </c>
      <c r="B48" s="11">
        <v>89</v>
      </c>
      <c r="C48" s="11">
        <v>10</v>
      </c>
      <c r="D48" s="11">
        <v>408</v>
      </c>
      <c r="E48" s="11">
        <f t="shared" si="2"/>
        <v>1</v>
      </c>
      <c r="F48" s="11">
        <f t="shared" si="4"/>
        <v>3</v>
      </c>
      <c r="G48" s="11">
        <f t="shared" si="5"/>
        <v>2</v>
      </c>
    </row>
    <row r="49" spans="1:7" x14ac:dyDescent="0.35">
      <c r="A49">
        <v>47</v>
      </c>
      <c r="B49" s="11">
        <v>66</v>
      </c>
      <c r="C49" s="11">
        <v>6</v>
      </c>
      <c r="D49" s="11">
        <v>783</v>
      </c>
      <c r="E49" s="11">
        <f t="shared" si="2"/>
        <v>2</v>
      </c>
      <c r="F49" s="11">
        <f t="shared" si="4"/>
        <v>2</v>
      </c>
      <c r="G49" s="11">
        <f t="shared" si="5"/>
        <v>4</v>
      </c>
    </row>
    <row r="50" spans="1:7" x14ac:dyDescent="0.35">
      <c r="A50">
        <v>48</v>
      </c>
      <c r="B50" s="11">
        <v>77</v>
      </c>
      <c r="C50" s="11">
        <v>10</v>
      </c>
      <c r="D50" s="11">
        <v>227</v>
      </c>
      <c r="E50" s="11">
        <f t="shared" si="2"/>
        <v>1</v>
      </c>
      <c r="F50" s="11">
        <f t="shared" si="4"/>
        <v>3</v>
      </c>
      <c r="G50" s="11">
        <f t="shared" si="5"/>
        <v>1</v>
      </c>
    </row>
    <row r="51" spans="1:7" x14ac:dyDescent="0.35">
      <c r="A51">
        <v>49</v>
      </c>
      <c r="B51" s="11">
        <v>33</v>
      </c>
      <c r="C51" s="11">
        <v>11</v>
      </c>
      <c r="D51" s="11">
        <v>462</v>
      </c>
      <c r="E51" s="11">
        <f t="shared" si="2"/>
        <v>3</v>
      </c>
      <c r="F51" s="11">
        <f t="shared" si="4"/>
        <v>3</v>
      </c>
      <c r="G51" s="11">
        <f t="shared" si="5"/>
        <v>2</v>
      </c>
    </row>
    <row r="52" spans="1:7" x14ac:dyDescent="0.35">
      <c r="A52">
        <v>50</v>
      </c>
      <c r="B52" s="11">
        <v>62</v>
      </c>
      <c r="C52" s="11">
        <v>8</v>
      </c>
      <c r="D52" s="11">
        <v>543</v>
      </c>
      <c r="E52" s="11">
        <f t="shared" si="2"/>
        <v>2</v>
      </c>
      <c r="F52" s="11">
        <f t="shared" si="4"/>
        <v>2</v>
      </c>
      <c r="G52" s="11">
        <f t="shared" si="5"/>
        <v>3</v>
      </c>
    </row>
    <row r="53" spans="1:7" x14ac:dyDescent="0.35">
      <c r="A53">
        <v>51</v>
      </c>
      <c r="B53" s="11">
        <v>42</v>
      </c>
      <c r="C53" s="11">
        <v>3</v>
      </c>
      <c r="D53" s="11">
        <v>278</v>
      </c>
      <c r="E53" s="11">
        <f t="shared" si="2"/>
        <v>2</v>
      </c>
      <c r="F53" s="11">
        <f t="shared" si="4"/>
        <v>1</v>
      </c>
      <c r="G53" s="11">
        <f t="shared" si="5"/>
        <v>2</v>
      </c>
    </row>
    <row r="54" spans="1:7" x14ac:dyDescent="0.35">
      <c r="A54">
        <v>52</v>
      </c>
      <c r="B54" s="11">
        <v>69</v>
      </c>
      <c r="C54" s="11">
        <v>16</v>
      </c>
      <c r="D54" s="11">
        <v>296</v>
      </c>
      <c r="E54" s="11">
        <f t="shared" si="2"/>
        <v>2</v>
      </c>
      <c r="F54" s="11">
        <f t="shared" si="4"/>
        <v>4</v>
      </c>
      <c r="G54" s="11">
        <f t="shared" si="5"/>
        <v>2</v>
      </c>
    </row>
    <row r="55" spans="1:7" x14ac:dyDescent="0.35">
      <c r="A55">
        <v>53</v>
      </c>
      <c r="B55" s="11">
        <v>5</v>
      </c>
      <c r="C55" s="11">
        <v>20</v>
      </c>
      <c r="D55" s="11">
        <v>241</v>
      </c>
      <c r="E55" s="11">
        <f t="shared" si="2"/>
        <v>4</v>
      </c>
      <c r="F55" s="11">
        <f t="shared" si="4"/>
        <v>4</v>
      </c>
      <c r="G55" s="11">
        <f t="shared" si="5"/>
        <v>1</v>
      </c>
    </row>
    <row r="56" spans="1:7" x14ac:dyDescent="0.35">
      <c r="A56">
        <v>54</v>
      </c>
      <c r="B56" s="11">
        <v>64</v>
      </c>
      <c r="C56" s="11">
        <v>3</v>
      </c>
      <c r="D56" s="11">
        <v>663</v>
      </c>
      <c r="E56" s="11">
        <f t="shared" si="2"/>
        <v>2</v>
      </c>
      <c r="F56" s="11">
        <f t="shared" si="4"/>
        <v>1</v>
      </c>
      <c r="G56" s="11">
        <f t="shared" si="5"/>
        <v>3</v>
      </c>
    </row>
    <row r="57" spans="1:7" x14ac:dyDescent="0.35">
      <c r="A57">
        <v>55</v>
      </c>
      <c r="B57" s="11">
        <v>85</v>
      </c>
      <c r="C57" s="11">
        <v>6</v>
      </c>
      <c r="D57" s="11">
        <v>830</v>
      </c>
      <c r="E57" s="11">
        <f t="shared" si="2"/>
        <v>1</v>
      </c>
      <c r="F57" s="11">
        <f t="shared" si="4"/>
        <v>2</v>
      </c>
      <c r="G57" s="11">
        <f t="shared" si="5"/>
        <v>4</v>
      </c>
    </row>
    <row r="58" spans="1:7" x14ac:dyDescent="0.35">
      <c r="A58">
        <v>56</v>
      </c>
      <c r="B58" s="11">
        <v>52</v>
      </c>
      <c r="C58" s="11">
        <v>10</v>
      </c>
      <c r="D58" s="11">
        <v>863</v>
      </c>
      <c r="E58" s="11">
        <f t="shared" si="2"/>
        <v>2</v>
      </c>
      <c r="F58" s="11">
        <f t="shared" si="4"/>
        <v>3</v>
      </c>
      <c r="G58" s="11">
        <f t="shared" si="5"/>
        <v>4</v>
      </c>
    </row>
    <row r="59" spans="1:7" x14ac:dyDescent="0.35">
      <c r="A59">
        <v>57</v>
      </c>
      <c r="B59" s="11">
        <v>66</v>
      </c>
      <c r="C59" s="11">
        <v>17</v>
      </c>
      <c r="D59" s="11">
        <v>104</v>
      </c>
      <c r="E59" s="11">
        <f t="shared" si="2"/>
        <v>2</v>
      </c>
      <c r="F59" s="11">
        <f t="shared" si="4"/>
        <v>4</v>
      </c>
      <c r="G59" s="11">
        <f t="shared" si="5"/>
        <v>1</v>
      </c>
    </row>
    <row r="60" spans="1:7" x14ac:dyDescent="0.35">
      <c r="A60">
        <v>58</v>
      </c>
      <c r="B60" s="11">
        <v>57</v>
      </c>
      <c r="C60" s="11">
        <v>5</v>
      </c>
      <c r="D60" s="11">
        <v>169</v>
      </c>
      <c r="E60" s="11">
        <f t="shared" si="2"/>
        <v>2</v>
      </c>
      <c r="F60" s="11">
        <f t="shared" si="4"/>
        <v>2</v>
      </c>
      <c r="G60" s="11">
        <f t="shared" si="5"/>
        <v>1</v>
      </c>
    </row>
    <row r="61" spans="1:7" x14ac:dyDescent="0.35">
      <c r="A61">
        <v>59</v>
      </c>
      <c r="B61" s="11">
        <v>61</v>
      </c>
      <c r="C61" s="11">
        <v>19</v>
      </c>
      <c r="D61" s="11">
        <v>589</v>
      </c>
      <c r="E61" s="11">
        <f t="shared" si="2"/>
        <v>2</v>
      </c>
      <c r="F61" s="11">
        <f t="shared" si="4"/>
        <v>4</v>
      </c>
      <c r="G61" s="11">
        <f t="shared" si="5"/>
        <v>3</v>
      </c>
    </row>
    <row r="62" spans="1:7" x14ac:dyDescent="0.35">
      <c r="A62">
        <v>60</v>
      </c>
      <c r="B62" s="11">
        <v>61</v>
      </c>
      <c r="C62" s="11">
        <v>16</v>
      </c>
      <c r="D62" s="11">
        <v>784</v>
      </c>
      <c r="E62" s="11">
        <f t="shared" si="2"/>
        <v>2</v>
      </c>
      <c r="F62" s="11">
        <f t="shared" si="4"/>
        <v>4</v>
      </c>
      <c r="G62" s="11">
        <f t="shared" si="5"/>
        <v>4</v>
      </c>
    </row>
    <row r="63" spans="1:7" x14ac:dyDescent="0.35">
      <c r="A63">
        <v>61</v>
      </c>
      <c r="B63" s="11">
        <v>1</v>
      </c>
      <c r="C63" s="11">
        <v>2</v>
      </c>
      <c r="D63" s="11">
        <v>842</v>
      </c>
      <c r="E63" s="11">
        <f t="shared" si="2"/>
        <v>4</v>
      </c>
      <c r="F63" s="11">
        <f t="shared" si="4"/>
        <v>1</v>
      </c>
      <c r="G63" s="11">
        <f t="shared" si="5"/>
        <v>4</v>
      </c>
    </row>
    <row r="64" spans="1:7" x14ac:dyDescent="0.35">
      <c r="A64">
        <v>62</v>
      </c>
      <c r="B64" s="11">
        <v>4</v>
      </c>
      <c r="C64" s="11">
        <v>8</v>
      </c>
      <c r="D64" s="11">
        <v>748</v>
      </c>
      <c r="E64" s="11">
        <f t="shared" si="2"/>
        <v>4</v>
      </c>
      <c r="F64" s="11">
        <f t="shared" si="4"/>
        <v>2</v>
      </c>
      <c r="G64" s="11">
        <f t="shared" si="5"/>
        <v>3</v>
      </c>
    </row>
    <row r="65" spans="1:7" x14ac:dyDescent="0.35">
      <c r="A65">
        <v>63</v>
      </c>
      <c r="B65" s="11">
        <v>2</v>
      </c>
      <c r="C65" s="11">
        <v>13</v>
      </c>
      <c r="D65" s="11">
        <v>301</v>
      </c>
      <c r="E65" s="11">
        <f t="shared" si="2"/>
        <v>4</v>
      </c>
      <c r="F65" s="11">
        <f t="shared" si="4"/>
        <v>3</v>
      </c>
      <c r="G65" s="11">
        <f t="shared" si="5"/>
        <v>2</v>
      </c>
    </row>
    <row r="66" spans="1:7" x14ac:dyDescent="0.35">
      <c r="A66">
        <v>64</v>
      </c>
      <c r="B66" s="11">
        <v>1</v>
      </c>
      <c r="C66" s="11">
        <v>7</v>
      </c>
      <c r="D66" s="11">
        <v>846</v>
      </c>
      <c r="E66" s="11">
        <f t="shared" si="2"/>
        <v>4</v>
      </c>
      <c r="F66" s="11">
        <f t="shared" si="4"/>
        <v>2</v>
      </c>
      <c r="G66" s="11">
        <f t="shared" si="5"/>
        <v>4</v>
      </c>
    </row>
    <row r="67" spans="1:7" x14ac:dyDescent="0.35">
      <c r="A67">
        <v>65</v>
      </c>
      <c r="B67" s="11">
        <v>18</v>
      </c>
      <c r="C67" s="11">
        <v>14</v>
      </c>
      <c r="D67" s="11">
        <v>455</v>
      </c>
      <c r="E67" s="11">
        <f t="shared" si="2"/>
        <v>3</v>
      </c>
      <c r="F67" s="11">
        <f t="shared" ref="F67:F102" si="6">IF(C67&lt;K$4,1,IF(C67&lt;K$5,2,IF(C67&lt;K$6,3,4)))</f>
        <v>4</v>
      </c>
      <c r="G67" s="11">
        <f t="shared" ref="G67:G102" si="7">IF(D67&lt;L$4,1,IF(D67&lt;L$5,2,IF(D67&lt;L$6,3,4)))</f>
        <v>2</v>
      </c>
    </row>
    <row r="68" spans="1:7" x14ac:dyDescent="0.35">
      <c r="A68">
        <v>66</v>
      </c>
      <c r="B68" s="11">
        <v>66</v>
      </c>
      <c r="C68" s="11">
        <v>8</v>
      </c>
      <c r="D68" s="11">
        <v>987</v>
      </c>
      <c r="E68" s="11">
        <f t="shared" ref="E68:E102" si="8">IF(B68&lt;J$4,4,IF(B68&lt;J$5,3,IF(B68&lt;J$6,2,1)))</f>
        <v>2</v>
      </c>
      <c r="F68" s="11">
        <f t="shared" si="6"/>
        <v>2</v>
      </c>
      <c r="G68" s="11">
        <f t="shared" si="7"/>
        <v>4</v>
      </c>
    </row>
    <row r="69" spans="1:7" x14ac:dyDescent="0.35">
      <c r="A69">
        <v>67</v>
      </c>
      <c r="B69" s="11">
        <v>83</v>
      </c>
      <c r="C69" s="11">
        <v>14</v>
      </c>
      <c r="D69" s="11">
        <v>382</v>
      </c>
      <c r="E69" s="11">
        <f t="shared" si="8"/>
        <v>1</v>
      </c>
      <c r="F69" s="11">
        <f t="shared" si="6"/>
        <v>4</v>
      </c>
      <c r="G69" s="11">
        <f t="shared" si="7"/>
        <v>2</v>
      </c>
    </row>
    <row r="70" spans="1:7" x14ac:dyDescent="0.35">
      <c r="A70">
        <v>68</v>
      </c>
      <c r="B70" s="11">
        <v>44</v>
      </c>
      <c r="C70" s="11">
        <v>8</v>
      </c>
      <c r="D70" s="11">
        <v>844</v>
      </c>
      <c r="E70" s="11">
        <f t="shared" si="8"/>
        <v>2</v>
      </c>
      <c r="F70" s="11">
        <f t="shared" si="6"/>
        <v>2</v>
      </c>
      <c r="G70" s="11">
        <f t="shared" si="7"/>
        <v>4</v>
      </c>
    </row>
    <row r="71" spans="1:7" x14ac:dyDescent="0.35">
      <c r="A71">
        <v>69</v>
      </c>
      <c r="B71" s="11">
        <v>1</v>
      </c>
      <c r="C71" s="11">
        <v>12</v>
      </c>
      <c r="D71" s="11">
        <v>845</v>
      </c>
      <c r="E71" s="11">
        <f t="shared" si="8"/>
        <v>4</v>
      </c>
      <c r="F71" s="11">
        <f t="shared" si="6"/>
        <v>3</v>
      </c>
      <c r="G71" s="11">
        <f t="shared" si="7"/>
        <v>4</v>
      </c>
    </row>
    <row r="72" spans="1:7" x14ac:dyDescent="0.35">
      <c r="A72">
        <v>70</v>
      </c>
      <c r="B72" s="11">
        <v>4</v>
      </c>
      <c r="C72" s="11">
        <v>10</v>
      </c>
      <c r="D72" s="11">
        <v>157</v>
      </c>
      <c r="E72" s="11">
        <f t="shared" si="8"/>
        <v>4</v>
      </c>
      <c r="F72" s="11">
        <f t="shared" si="6"/>
        <v>3</v>
      </c>
      <c r="G72" s="11">
        <f t="shared" si="7"/>
        <v>1</v>
      </c>
    </row>
    <row r="73" spans="1:7" x14ac:dyDescent="0.35">
      <c r="A73">
        <v>71</v>
      </c>
      <c r="B73" s="11">
        <v>81</v>
      </c>
      <c r="C73" s="11">
        <v>7</v>
      </c>
      <c r="D73" s="11">
        <v>505</v>
      </c>
      <c r="E73" s="11">
        <f t="shared" si="8"/>
        <v>1</v>
      </c>
      <c r="F73" s="11">
        <f t="shared" si="6"/>
        <v>2</v>
      </c>
      <c r="G73" s="11">
        <f t="shared" si="7"/>
        <v>2</v>
      </c>
    </row>
    <row r="74" spans="1:7" x14ac:dyDescent="0.35">
      <c r="A74">
        <v>72</v>
      </c>
      <c r="B74" s="11">
        <v>1</v>
      </c>
      <c r="C74" s="11">
        <v>16</v>
      </c>
      <c r="D74" s="11">
        <v>615</v>
      </c>
      <c r="E74" s="11">
        <f t="shared" si="8"/>
        <v>4</v>
      </c>
      <c r="F74" s="11">
        <f t="shared" si="6"/>
        <v>4</v>
      </c>
      <c r="G74" s="11">
        <f t="shared" si="7"/>
        <v>3</v>
      </c>
    </row>
    <row r="75" spans="1:7" x14ac:dyDescent="0.35">
      <c r="A75">
        <v>73</v>
      </c>
      <c r="B75" s="11">
        <v>41</v>
      </c>
      <c r="C75" s="11">
        <v>2</v>
      </c>
      <c r="D75" s="11">
        <v>313</v>
      </c>
      <c r="E75" s="11">
        <f t="shared" si="8"/>
        <v>3</v>
      </c>
      <c r="F75" s="11">
        <f t="shared" si="6"/>
        <v>1</v>
      </c>
      <c r="G75" s="11">
        <f t="shared" si="7"/>
        <v>2</v>
      </c>
    </row>
    <row r="76" spans="1:7" x14ac:dyDescent="0.35">
      <c r="A76">
        <v>74</v>
      </c>
      <c r="B76" s="11">
        <v>56</v>
      </c>
      <c r="C76" s="11">
        <v>20</v>
      </c>
      <c r="D76" s="11">
        <v>111</v>
      </c>
      <c r="E76" s="11">
        <f t="shared" si="8"/>
        <v>2</v>
      </c>
      <c r="F76" s="11">
        <f t="shared" si="6"/>
        <v>4</v>
      </c>
      <c r="G76" s="11">
        <f t="shared" si="7"/>
        <v>1</v>
      </c>
    </row>
    <row r="77" spans="1:7" x14ac:dyDescent="0.35">
      <c r="A77">
        <v>75</v>
      </c>
      <c r="B77" s="11">
        <v>1</v>
      </c>
      <c r="C77" s="11">
        <v>13</v>
      </c>
      <c r="D77" s="11">
        <v>411</v>
      </c>
      <c r="E77" s="11">
        <f t="shared" si="8"/>
        <v>4</v>
      </c>
      <c r="F77" s="11">
        <f t="shared" si="6"/>
        <v>3</v>
      </c>
      <c r="G77" s="11">
        <f t="shared" si="7"/>
        <v>2</v>
      </c>
    </row>
    <row r="78" spans="1:7" x14ac:dyDescent="0.35">
      <c r="A78">
        <v>76</v>
      </c>
      <c r="B78" s="11">
        <v>22</v>
      </c>
      <c r="C78" s="11">
        <v>15</v>
      </c>
      <c r="D78" s="11">
        <v>238</v>
      </c>
      <c r="E78" s="11">
        <f t="shared" si="8"/>
        <v>3</v>
      </c>
      <c r="F78" s="11">
        <f t="shared" si="6"/>
        <v>4</v>
      </c>
      <c r="G78" s="11">
        <f t="shared" si="7"/>
        <v>1</v>
      </c>
    </row>
    <row r="79" spans="1:7" x14ac:dyDescent="0.35">
      <c r="A79">
        <v>77</v>
      </c>
      <c r="B79" s="11">
        <v>72</v>
      </c>
      <c r="C79" s="11">
        <v>6</v>
      </c>
      <c r="D79" s="11">
        <v>668</v>
      </c>
      <c r="E79" s="11">
        <f t="shared" si="8"/>
        <v>1</v>
      </c>
      <c r="F79" s="11">
        <f t="shared" si="6"/>
        <v>2</v>
      </c>
      <c r="G79" s="11">
        <f t="shared" si="7"/>
        <v>3</v>
      </c>
    </row>
    <row r="80" spans="1:7" x14ac:dyDescent="0.35">
      <c r="A80">
        <v>78</v>
      </c>
      <c r="B80" s="11">
        <v>1</v>
      </c>
      <c r="C80" s="11">
        <v>7</v>
      </c>
      <c r="D80" s="11">
        <v>502</v>
      </c>
      <c r="E80" s="11">
        <f t="shared" si="8"/>
        <v>4</v>
      </c>
      <c r="F80" s="11">
        <f t="shared" si="6"/>
        <v>2</v>
      </c>
      <c r="G80" s="11">
        <f t="shared" si="7"/>
        <v>2</v>
      </c>
    </row>
    <row r="81" spans="1:7" x14ac:dyDescent="0.35">
      <c r="A81">
        <v>79</v>
      </c>
      <c r="B81" s="11">
        <v>53</v>
      </c>
      <c r="C81" s="11">
        <v>4</v>
      </c>
      <c r="D81" s="11">
        <v>743</v>
      </c>
      <c r="E81" s="11">
        <f t="shared" si="8"/>
        <v>2</v>
      </c>
      <c r="F81" s="11">
        <f t="shared" si="6"/>
        <v>1</v>
      </c>
      <c r="G81" s="11">
        <f t="shared" si="7"/>
        <v>3</v>
      </c>
    </row>
    <row r="82" spans="1:7" x14ac:dyDescent="0.35">
      <c r="A82">
        <v>80</v>
      </c>
      <c r="B82" s="11">
        <v>42</v>
      </c>
      <c r="C82" s="11">
        <v>12</v>
      </c>
      <c r="D82" s="11">
        <v>482</v>
      </c>
      <c r="E82" s="11">
        <f t="shared" si="8"/>
        <v>2</v>
      </c>
      <c r="F82" s="11">
        <f t="shared" si="6"/>
        <v>3</v>
      </c>
      <c r="G82" s="11">
        <f t="shared" si="7"/>
        <v>2</v>
      </c>
    </row>
    <row r="83" spans="1:7" x14ac:dyDescent="0.35">
      <c r="A83">
        <v>81</v>
      </c>
      <c r="B83" s="11">
        <v>1</v>
      </c>
      <c r="C83" s="11">
        <v>8</v>
      </c>
      <c r="D83" s="11">
        <v>428</v>
      </c>
      <c r="E83" s="11">
        <f t="shared" si="8"/>
        <v>4</v>
      </c>
      <c r="F83" s="11">
        <f t="shared" si="6"/>
        <v>2</v>
      </c>
      <c r="G83" s="11">
        <f t="shared" si="7"/>
        <v>2</v>
      </c>
    </row>
    <row r="84" spans="1:7" x14ac:dyDescent="0.35">
      <c r="A84">
        <v>82</v>
      </c>
      <c r="B84" s="11">
        <v>48</v>
      </c>
      <c r="C84" s="11">
        <v>2</v>
      </c>
      <c r="D84" s="11">
        <v>223</v>
      </c>
      <c r="E84" s="11">
        <f t="shared" si="8"/>
        <v>2</v>
      </c>
      <c r="F84" s="11">
        <f t="shared" si="6"/>
        <v>1</v>
      </c>
      <c r="G84" s="11">
        <f t="shared" si="7"/>
        <v>1</v>
      </c>
    </row>
    <row r="85" spans="1:7" x14ac:dyDescent="0.35">
      <c r="A85">
        <v>83</v>
      </c>
      <c r="B85" s="11">
        <v>36</v>
      </c>
      <c r="C85" s="11">
        <v>5</v>
      </c>
      <c r="D85" s="11">
        <v>633</v>
      </c>
      <c r="E85" s="11">
        <f t="shared" si="8"/>
        <v>3</v>
      </c>
      <c r="F85" s="11">
        <f t="shared" si="6"/>
        <v>2</v>
      </c>
      <c r="G85" s="11">
        <f t="shared" si="7"/>
        <v>3</v>
      </c>
    </row>
    <row r="86" spans="1:7" x14ac:dyDescent="0.35">
      <c r="A86">
        <v>84</v>
      </c>
      <c r="B86" s="11">
        <v>1</v>
      </c>
      <c r="C86" s="11">
        <v>15</v>
      </c>
      <c r="D86" s="11">
        <v>119</v>
      </c>
      <c r="E86" s="11">
        <f t="shared" si="8"/>
        <v>4</v>
      </c>
      <c r="F86" s="11">
        <f t="shared" si="6"/>
        <v>4</v>
      </c>
      <c r="G86" s="11">
        <f t="shared" si="7"/>
        <v>1</v>
      </c>
    </row>
    <row r="87" spans="1:7" x14ac:dyDescent="0.35">
      <c r="A87">
        <v>85</v>
      </c>
      <c r="B87" s="11">
        <v>12</v>
      </c>
      <c r="C87" s="11">
        <v>14</v>
      </c>
      <c r="D87" s="11">
        <v>617</v>
      </c>
      <c r="E87" s="11">
        <f t="shared" si="8"/>
        <v>4</v>
      </c>
      <c r="F87" s="11">
        <f t="shared" si="6"/>
        <v>4</v>
      </c>
      <c r="G87" s="11">
        <f t="shared" si="7"/>
        <v>3</v>
      </c>
    </row>
    <row r="88" spans="1:7" x14ac:dyDescent="0.35">
      <c r="A88">
        <v>86</v>
      </c>
      <c r="B88" s="11">
        <v>1</v>
      </c>
      <c r="C88" s="11">
        <v>3</v>
      </c>
      <c r="D88" s="11">
        <v>475</v>
      </c>
      <c r="E88" s="11">
        <f t="shared" si="8"/>
        <v>4</v>
      </c>
      <c r="F88" s="11">
        <f t="shared" si="6"/>
        <v>1</v>
      </c>
      <c r="G88" s="11">
        <f t="shared" si="7"/>
        <v>2</v>
      </c>
    </row>
    <row r="89" spans="1:7" x14ac:dyDescent="0.35">
      <c r="A89">
        <v>87</v>
      </c>
      <c r="B89" s="11">
        <v>85</v>
      </c>
      <c r="C89" s="11">
        <v>7</v>
      </c>
      <c r="D89" s="11">
        <v>481</v>
      </c>
      <c r="E89" s="11">
        <f t="shared" si="8"/>
        <v>1</v>
      </c>
      <c r="F89" s="11">
        <f t="shared" si="6"/>
        <v>2</v>
      </c>
      <c r="G89" s="11">
        <f t="shared" si="7"/>
        <v>2</v>
      </c>
    </row>
    <row r="90" spans="1:7" x14ac:dyDescent="0.35">
      <c r="A90">
        <v>88</v>
      </c>
      <c r="B90" s="11">
        <v>31</v>
      </c>
      <c r="C90" s="11">
        <v>5</v>
      </c>
      <c r="D90" s="11">
        <v>820</v>
      </c>
      <c r="E90" s="11">
        <f t="shared" si="8"/>
        <v>3</v>
      </c>
      <c r="F90" s="11">
        <f t="shared" si="6"/>
        <v>2</v>
      </c>
      <c r="G90" s="11">
        <f t="shared" si="7"/>
        <v>4</v>
      </c>
    </row>
    <row r="91" spans="1:7" x14ac:dyDescent="0.35">
      <c r="A91">
        <v>89</v>
      </c>
      <c r="B91" s="11">
        <v>61</v>
      </c>
      <c r="C91" s="11">
        <v>16</v>
      </c>
      <c r="D91" s="11">
        <v>586</v>
      </c>
      <c r="E91" s="11">
        <f t="shared" si="8"/>
        <v>2</v>
      </c>
      <c r="F91" s="11">
        <f t="shared" si="6"/>
        <v>4</v>
      </c>
      <c r="G91" s="11">
        <f t="shared" si="7"/>
        <v>3</v>
      </c>
    </row>
    <row r="92" spans="1:7" x14ac:dyDescent="0.35">
      <c r="A92">
        <v>90</v>
      </c>
      <c r="B92" s="11">
        <v>74</v>
      </c>
      <c r="C92" s="11">
        <v>17</v>
      </c>
      <c r="D92" s="11">
        <v>484</v>
      </c>
      <c r="E92" s="11">
        <f t="shared" si="8"/>
        <v>1</v>
      </c>
      <c r="F92" s="11">
        <f t="shared" si="6"/>
        <v>4</v>
      </c>
      <c r="G92" s="11">
        <f t="shared" si="7"/>
        <v>2</v>
      </c>
    </row>
    <row r="93" spans="1:7" x14ac:dyDescent="0.35">
      <c r="A93">
        <v>91</v>
      </c>
      <c r="B93" s="11">
        <v>37</v>
      </c>
      <c r="C93" s="11">
        <v>4</v>
      </c>
      <c r="D93" s="11">
        <v>859</v>
      </c>
      <c r="E93" s="11">
        <f t="shared" si="8"/>
        <v>3</v>
      </c>
      <c r="F93" s="11">
        <f t="shared" si="6"/>
        <v>1</v>
      </c>
      <c r="G93" s="11">
        <f t="shared" si="7"/>
        <v>4</v>
      </c>
    </row>
    <row r="94" spans="1:7" x14ac:dyDescent="0.35">
      <c r="A94">
        <v>92</v>
      </c>
      <c r="B94" s="11">
        <v>5</v>
      </c>
      <c r="C94" s="11">
        <v>7</v>
      </c>
      <c r="D94" s="11">
        <v>725</v>
      </c>
      <c r="E94" s="11">
        <f t="shared" si="8"/>
        <v>4</v>
      </c>
      <c r="F94" s="11">
        <f t="shared" si="6"/>
        <v>2</v>
      </c>
      <c r="G94" s="11">
        <f t="shared" si="7"/>
        <v>3</v>
      </c>
    </row>
    <row r="95" spans="1:7" x14ac:dyDescent="0.35">
      <c r="A95">
        <v>93</v>
      </c>
      <c r="B95" s="11">
        <v>15</v>
      </c>
      <c r="C95" s="11">
        <v>14</v>
      </c>
      <c r="D95" s="11">
        <v>670</v>
      </c>
      <c r="E95" s="11">
        <f t="shared" si="8"/>
        <v>3</v>
      </c>
      <c r="F95" s="11">
        <f t="shared" si="6"/>
        <v>4</v>
      </c>
      <c r="G95" s="11">
        <f t="shared" si="7"/>
        <v>3</v>
      </c>
    </row>
    <row r="96" spans="1:7" x14ac:dyDescent="0.35">
      <c r="A96">
        <v>94</v>
      </c>
      <c r="B96" s="11">
        <v>8</v>
      </c>
      <c r="C96" s="11">
        <v>9</v>
      </c>
      <c r="D96" s="11">
        <v>979</v>
      </c>
      <c r="E96" s="11">
        <f t="shared" si="8"/>
        <v>4</v>
      </c>
      <c r="F96" s="11">
        <f t="shared" si="6"/>
        <v>2</v>
      </c>
      <c r="G96" s="11">
        <f t="shared" si="7"/>
        <v>4</v>
      </c>
    </row>
    <row r="97" spans="1:7" x14ac:dyDescent="0.35">
      <c r="A97">
        <v>95</v>
      </c>
      <c r="B97" s="11">
        <v>60</v>
      </c>
      <c r="C97" s="11">
        <v>8</v>
      </c>
      <c r="D97" s="11">
        <v>250</v>
      </c>
      <c r="E97" s="11">
        <f t="shared" si="8"/>
        <v>2</v>
      </c>
      <c r="F97" s="11">
        <f t="shared" si="6"/>
        <v>2</v>
      </c>
      <c r="G97" s="11">
        <f t="shared" si="7"/>
        <v>2</v>
      </c>
    </row>
    <row r="98" spans="1:7" x14ac:dyDescent="0.35">
      <c r="A98">
        <v>96</v>
      </c>
      <c r="B98" s="11">
        <v>84</v>
      </c>
      <c r="C98" s="11">
        <v>11</v>
      </c>
      <c r="D98" s="11">
        <v>794</v>
      </c>
      <c r="E98" s="11">
        <f t="shared" si="8"/>
        <v>1</v>
      </c>
      <c r="F98" s="11">
        <f t="shared" si="6"/>
        <v>3</v>
      </c>
      <c r="G98" s="11">
        <f t="shared" si="7"/>
        <v>4</v>
      </c>
    </row>
    <row r="99" spans="1:7" x14ac:dyDescent="0.35">
      <c r="A99">
        <v>97</v>
      </c>
      <c r="B99" s="11">
        <v>24</v>
      </c>
      <c r="C99" s="11">
        <v>18</v>
      </c>
      <c r="D99" s="11">
        <v>348</v>
      </c>
      <c r="E99" s="11">
        <f t="shared" si="8"/>
        <v>3</v>
      </c>
      <c r="F99" s="11">
        <f t="shared" si="6"/>
        <v>4</v>
      </c>
      <c r="G99" s="11">
        <f t="shared" si="7"/>
        <v>2</v>
      </c>
    </row>
    <row r="100" spans="1:7" x14ac:dyDescent="0.35">
      <c r="A100">
        <v>98</v>
      </c>
      <c r="B100" s="11">
        <v>81</v>
      </c>
      <c r="C100" s="11">
        <v>11</v>
      </c>
      <c r="D100" s="11">
        <v>921</v>
      </c>
      <c r="E100" s="11">
        <f t="shared" si="8"/>
        <v>1</v>
      </c>
      <c r="F100" s="11">
        <f t="shared" si="6"/>
        <v>3</v>
      </c>
      <c r="G100" s="11">
        <f t="shared" si="7"/>
        <v>4</v>
      </c>
    </row>
    <row r="101" spans="1:7" x14ac:dyDescent="0.35">
      <c r="A101">
        <v>99</v>
      </c>
      <c r="B101" s="11">
        <v>23</v>
      </c>
      <c r="C101" s="11">
        <v>11</v>
      </c>
      <c r="D101" s="11">
        <v>601</v>
      </c>
      <c r="E101" s="11">
        <f t="shared" si="8"/>
        <v>3</v>
      </c>
      <c r="F101" s="11">
        <f t="shared" si="6"/>
        <v>3</v>
      </c>
      <c r="G101" s="11">
        <f t="shared" si="7"/>
        <v>3</v>
      </c>
    </row>
    <row r="102" spans="1:7" x14ac:dyDescent="0.35">
      <c r="A102">
        <v>100</v>
      </c>
      <c r="B102" s="11">
        <v>14</v>
      </c>
      <c r="C102" s="11">
        <v>11</v>
      </c>
      <c r="D102" s="11">
        <v>815</v>
      </c>
      <c r="E102" s="11">
        <f t="shared" si="8"/>
        <v>3</v>
      </c>
      <c r="F102" s="11">
        <f t="shared" si="6"/>
        <v>3</v>
      </c>
      <c r="G102" s="11">
        <f t="shared" si="7"/>
        <v>4</v>
      </c>
    </row>
  </sheetData>
  <autoFilter ref="A2:G102">
    <filterColumn colId="3">
      <customFilters>
        <customFilter operator="greaterThan" val="10"/>
      </customFilters>
    </filterColumn>
  </autoFilter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C9" sqref="C9"/>
    </sheetView>
  </sheetViews>
  <sheetFormatPr defaultRowHeight="14.5" x14ac:dyDescent="0.35"/>
  <cols>
    <col min="1" max="2" width="18.1796875" customWidth="1"/>
    <col min="3" max="3" width="19.08984375" customWidth="1"/>
    <col min="4" max="4" width="18.08984375" customWidth="1"/>
  </cols>
  <sheetData>
    <row r="1" spans="1:7" ht="15" thickBot="1" x14ac:dyDescent="0.4">
      <c r="A1" s="26" t="s">
        <v>48</v>
      </c>
    </row>
    <row r="2" spans="1:7" ht="28.5" thickBot="1" x14ac:dyDescent="0.4">
      <c r="A2" s="23" t="s">
        <v>22</v>
      </c>
      <c r="B2" s="23" t="s">
        <v>21</v>
      </c>
      <c r="C2" s="23" t="s">
        <v>20</v>
      </c>
      <c r="D2" s="23" t="s">
        <v>19</v>
      </c>
      <c r="E2" s="12"/>
      <c r="F2" s="12"/>
    </row>
    <row r="3" spans="1:7" ht="16.5" thickTop="1" thickBot="1" x14ac:dyDescent="0.4">
      <c r="A3" s="16" t="s">
        <v>18</v>
      </c>
      <c r="B3" s="19">
        <v>11101</v>
      </c>
      <c r="C3" s="19">
        <v>1935</v>
      </c>
      <c r="D3" s="25">
        <f>C3/B3</f>
        <v>0.17430862084496893</v>
      </c>
    </row>
    <row r="4" spans="1:7" ht="16.5" thickTop="1" thickBot="1" x14ac:dyDescent="0.4">
      <c r="A4" s="14">
        <v>4</v>
      </c>
      <c r="B4" s="20">
        <v>15204</v>
      </c>
      <c r="C4" s="20">
        <v>1829</v>
      </c>
      <c r="D4" s="25">
        <f t="shared" ref="D4:D7" si="0">C4/B4</f>
        <v>0.12029729018679294</v>
      </c>
    </row>
    <row r="5" spans="1:7" ht="16.5" thickTop="1" thickBot="1" x14ac:dyDescent="0.4">
      <c r="A5" s="15">
        <v>3</v>
      </c>
      <c r="B5" s="21">
        <v>18209</v>
      </c>
      <c r="C5" s="21">
        <v>1193</v>
      </c>
      <c r="D5" s="25">
        <f t="shared" si="0"/>
        <v>6.5517052007249166E-2</v>
      </c>
    </row>
    <row r="6" spans="1:7" ht="16.5" thickTop="1" thickBot="1" x14ac:dyDescent="0.4">
      <c r="A6" s="14">
        <v>2</v>
      </c>
      <c r="B6" s="20">
        <v>44220</v>
      </c>
      <c r="C6" s="20">
        <v>1427</v>
      </c>
      <c r="D6" s="25">
        <f t="shared" si="0"/>
        <v>3.2270465852555406E-2</v>
      </c>
    </row>
    <row r="7" spans="1:7" ht="16.5" thickTop="1" thickBot="1" x14ac:dyDescent="0.4">
      <c r="A7" s="15">
        <v>1</v>
      </c>
      <c r="B7" s="21">
        <v>116103</v>
      </c>
      <c r="C7" s="21">
        <v>24060</v>
      </c>
      <c r="D7" s="25">
        <f t="shared" si="0"/>
        <v>0.20722978734399627</v>
      </c>
    </row>
    <row r="8" spans="1:7" ht="16.5" thickTop="1" thickBot="1" x14ac:dyDescent="0.4">
      <c r="A8" s="14" t="s">
        <v>17</v>
      </c>
      <c r="B8" s="20">
        <v>204837</v>
      </c>
      <c r="C8" s="20">
        <f>SUM(C3:C7)</f>
        <v>30444</v>
      </c>
      <c r="D8" s="25">
        <f>C8/B8</f>
        <v>0.14862549246474024</v>
      </c>
    </row>
    <row r="10" spans="1:7" x14ac:dyDescent="0.35">
      <c r="A10" t="s">
        <v>16</v>
      </c>
      <c r="B10" s="24">
        <f>SUM(B3:B8)</f>
        <v>409674</v>
      </c>
      <c r="C10" s="24">
        <f>SUM(C3:C8)</f>
        <v>60888</v>
      </c>
    </row>
    <row r="11" spans="1:7" x14ac:dyDescent="0.35">
      <c r="A11" t="s">
        <v>15</v>
      </c>
      <c r="C11" s="13">
        <f>C10/B10</f>
        <v>0.14862549246474024</v>
      </c>
    </row>
    <row r="13" spans="1:7" ht="15" thickBot="1" x14ac:dyDescent="0.4">
      <c r="A13" s="26" t="s">
        <v>55</v>
      </c>
    </row>
    <row r="14" spans="1:7" ht="31.5" thickBot="1" x14ac:dyDescent="0.4">
      <c r="A14" s="27" t="s">
        <v>49</v>
      </c>
      <c r="B14" s="27" t="s">
        <v>21</v>
      </c>
      <c r="C14" s="27" t="s">
        <v>20</v>
      </c>
      <c r="D14" s="27" t="s">
        <v>19</v>
      </c>
      <c r="G14" s="12"/>
    </row>
    <row r="15" spans="1:7" ht="16.5" thickTop="1" thickBot="1" x14ac:dyDescent="0.4">
      <c r="A15" s="28" t="s">
        <v>50</v>
      </c>
      <c r="B15" s="19">
        <v>11101</v>
      </c>
      <c r="C15" s="19">
        <v>1935</v>
      </c>
      <c r="D15" s="25">
        <f>C15/B15</f>
        <v>0.17430862084496893</v>
      </c>
    </row>
    <row r="16" spans="1:7" ht="16.5" thickTop="1" thickBot="1" x14ac:dyDescent="0.4">
      <c r="A16" s="29" t="s">
        <v>51</v>
      </c>
      <c r="B16" s="20">
        <v>14004</v>
      </c>
      <c r="C16" s="20">
        <v>1829</v>
      </c>
      <c r="D16" s="25">
        <f t="shared" ref="D16:D20" si="1">C16/B16</f>
        <v>0.13060554127392174</v>
      </c>
    </row>
    <row r="17" spans="1:4" ht="16.5" thickTop="1" thickBot="1" x14ac:dyDescent="0.4">
      <c r="A17" s="30" t="s">
        <v>52</v>
      </c>
      <c r="B17" s="21">
        <v>14201</v>
      </c>
      <c r="C17" s="21">
        <v>1193</v>
      </c>
      <c r="D17" s="25">
        <f t="shared" si="1"/>
        <v>8.4008168438842332E-2</v>
      </c>
    </row>
    <row r="18" spans="1:4" ht="16.5" thickTop="1" thickBot="1" x14ac:dyDescent="0.4">
      <c r="A18" s="29" t="s">
        <v>53</v>
      </c>
      <c r="B18" s="20">
        <v>16023</v>
      </c>
      <c r="C18" s="20">
        <v>1427</v>
      </c>
      <c r="D18" s="25">
        <f t="shared" si="1"/>
        <v>8.9059477001809897E-2</v>
      </c>
    </row>
    <row r="19" spans="1:4" ht="16.5" thickTop="1" thickBot="1" x14ac:dyDescent="0.4">
      <c r="A19" s="30" t="s">
        <v>54</v>
      </c>
      <c r="B19" s="21">
        <v>112431</v>
      </c>
      <c r="C19" s="21">
        <v>5000</v>
      </c>
      <c r="D19" s="25">
        <f t="shared" si="1"/>
        <v>4.4471720432976668E-2</v>
      </c>
    </row>
    <row r="20" spans="1:4" ht="16.5" thickTop="1" thickBot="1" x14ac:dyDescent="0.4">
      <c r="A20" s="29" t="s">
        <v>17</v>
      </c>
      <c r="B20" s="20">
        <f>SUM(B15:B19)</f>
        <v>167760</v>
      </c>
      <c r="C20" s="20">
        <v>9790</v>
      </c>
      <c r="D20" s="25">
        <f t="shared" si="1"/>
        <v>5.8357176919408678E-2</v>
      </c>
    </row>
    <row r="21" spans="1:4" x14ac:dyDescent="0.35">
      <c r="D21" s="31"/>
    </row>
    <row r="22" spans="1:4" ht="15" thickBot="1" x14ac:dyDescent="0.4">
      <c r="A22" s="26" t="s">
        <v>131</v>
      </c>
    </row>
    <row r="23" spans="1:4" ht="31.5" thickBot="1" x14ac:dyDescent="0.4">
      <c r="A23" s="27" t="s">
        <v>125</v>
      </c>
      <c r="B23" s="27" t="s">
        <v>21</v>
      </c>
      <c r="C23" s="27" t="s">
        <v>20</v>
      </c>
      <c r="D23" s="27" t="s">
        <v>19</v>
      </c>
    </row>
    <row r="24" spans="1:4" ht="16.5" thickTop="1" thickBot="1" x14ac:dyDescent="0.4">
      <c r="A24" s="28" t="s">
        <v>126</v>
      </c>
      <c r="B24" s="19">
        <v>4151</v>
      </c>
      <c r="C24" s="19">
        <v>788</v>
      </c>
      <c r="D24" s="25">
        <f>C24/B24</f>
        <v>0.18983377499397736</v>
      </c>
    </row>
    <row r="25" spans="1:4" ht="16.5" thickTop="1" thickBot="1" x14ac:dyDescent="0.4">
      <c r="A25" s="29" t="s">
        <v>127</v>
      </c>
      <c r="B25" s="20">
        <v>12254</v>
      </c>
      <c r="C25" s="20">
        <v>1829</v>
      </c>
      <c r="D25" s="25">
        <f>C25/B25</f>
        <v>0.14925738534356128</v>
      </c>
    </row>
    <row r="26" spans="1:4" ht="16.5" thickTop="1" thickBot="1" x14ac:dyDescent="0.4">
      <c r="A26" s="30" t="s">
        <v>128</v>
      </c>
      <c r="B26" s="21">
        <v>1277</v>
      </c>
      <c r="C26" s="21">
        <v>1493</v>
      </c>
      <c r="D26" s="25">
        <f t="shared" ref="D26:D29" si="2">C26/B26</f>
        <v>1.1691464369616289</v>
      </c>
    </row>
    <row r="27" spans="1:4" ht="16.5" thickTop="1" thickBot="1" x14ac:dyDescent="0.4">
      <c r="A27" s="29" t="s">
        <v>129</v>
      </c>
      <c r="B27" s="20">
        <v>24220</v>
      </c>
      <c r="C27" s="20">
        <v>1735</v>
      </c>
      <c r="D27" s="25">
        <f t="shared" si="2"/>
        <v>7.1635012386457475E-2</v>
      </c>
    </row>
    <row r="28" spans="1:4" ht="16.5" thickTop="1" thickBot="1" x14ac:dyDescent="0.4">
      <c r="A28" s="30" t="s">
        <v>130</v>
      </c>
      <c r="B28" s="21">
        <v>138935</v>
      </c>
      <c r="C28" s="21">
        <v>3945</v>
      </c>
      <c r="D28" s="25">
        <f t="shared" si="2"/>
        <v>2.8394573001763415E-2</v>
      </c>
    </row>
    <row r="29" spans="1:4" ht="16.5" thickTop="1" thickBot="1" x14ac:dyDescent="0.4">
      <c r="A29" s="29" t="s">
        <v>17</v>
      </c>
      <c r="B29" s="20">
        <v>204837</v>
      </c>
      <c r="C29" s="20">
        <v>9790</v>
      </c>
      <c r="D29" s="25">
        <f t="shared" si="2"/>
        <v>4.7794099698784891E-2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6"/>
  <sheetViews>
    <sheetView workbookViewId="0">
      <selection activeCell="E5" sqref="E5"/>
    </sheetView>
  </sheetViews>
  <sheetFormatPr defaultRowHeight="14.5" x14ac:dyDescent="0.35"/>
  <cols>
    <col min="3" max="3" width="36.36328125" customWidth="1"/>
    <col min="4" max="4" width="37.81640625" customWidth="1"/>
  </cols>
  <sheetData>
    <row r="5" spans="3:4" ht="122" customHeight="1" x14ac:dyDescent="0.45">
      <c r="C5" s="34" t="s">
        <v>56</v>
      </c>
      <c r="D5" s="32" t="s">
        <v>57</v>
      </c>
    </row>
    <row r="6" spans="3:4" ht="132" customHeight="1" x14ac:dyDescent="0.45">
      <c r="C6" s="35" t="s">
        <v>59</v>
      </c>
      <c r="D6" s="33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Day2-CLV Simple</vt:lpstr>
      <vt:lpstr>PV discounting</vt:lpstr>
      <vt:lpstr>CLV Complex</vt:lpstr>
      <vt:lpstr>NegBino</vt:lpstr>
      <vt:lpstr>Loyalty</vt:lpstr>
      <vt:lpstr>Latency</vt:lpstr>
      <vt:lpstr>RFM I</vt:lpstr>
      <vt:lpstr>RFM II</vt:lpstr>
      <vt:lpstr>RFM Lifecycle</vt:lpstr>
      <vt:lpstr>Differential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Hufton</dc:creator>
  <cp:lastModifiedBy>Eric Tham</cp:lastModifiedBy>
  <dcterms:created xsi:type="dcterms:W3CDTF">2017-09-08T15:12:43Z</dcterms:created>
  <dcterms:modified xsi:type="dcterms:W3CDTF">2018-05-22T02:17:41Z</dcterms:modified>
</cp:coreProperties>
</file>