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2023VLSI\hw3\"/>
    </mc:Choice>
  </mc:AlternateContent>
  <xr:revisionPtr revIDLastSave="0" documentId="13_ncr:1_{D955772E-E2D8-47A1-BA5F-0E19551B20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t1 and 2" sheetId="1" r:id="rId1"/>
    <sheet name="par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56" i="2"/>
  <c r="G6" i="1"/>
  <c r="B7" i="1" l="1"/>
  <c r="B8" i="1"/>
  <c r="B9" i="1"/>
  <c r="B10" i="1"/>
  <c r="B11" i="1"/>
  <c r="B12" i="1"/>
  <c r="B13" i="1"/>
  <c r="B14" i="1"/>
  <c r="B15" i="1"/>
  <c r="B6" i="1"/>
  <c r="F28" i="1"/>
  <c r="F27" i="1"/>
  <c r="F26" i="1"/>
  <c r="F25" i="1"/>
  <c r="F24" i="1"/>
  <c r="F23" i="1"/>
  <c r="F22" i="1"/>
  <c r="F21" i="1"/>
  <c r="F20" i="1"/>
  <c r="F19" i="1"/>
  <c r="C21" i="1"/>
  <c r="C22" i="1"/>
  <c r="C23" i="1"/>
  <c r="C24" i="1"/>
  <c r="C25" i="1"/>
  <c r="C26" i="1"/>
  <c r="C27" i="1"/>
  <c r="C28" i="1"/>
  <c r="C20" i="1"/>
  <c r="C19" i="1"/>
  <c r="B17" i="1"/>
  <c r="B16" i="1"/>
  <c r="B2" i="1"/>
  <c r="B1" i="1"/>
  <c r="G22" i="1" l="1"/>
  <c r="D26" i="1"/>
  <c r="D27" i="1"/>
  <c r="D19" i="1"/>
  <c r="D20" i="1"/>
  <c r="D21" i="1"/>
  <c r="D22" i="1"/>
  <c r="D23" i="1"/>
  <c r="D24" i="1"/>
  <c r="D25" i="1"/>
  <c r="D28" i="1"/>
  <c r="G20" i="1"/>
  <c r="G23" i="1"/>
  <c r="G25" i="1"/>
  <c r="G28" i="1"/>
  <c r="G24" i="1"/>
  <c r="I24" i="1" s="1"/>
  <c r="G19" i="1"/>
  <c r="F14" i="1"/>
  <c r="F15" i="1"/>
  <c r="F13" i="1"/>
  <c r="F12" i="1"/>
  <c r="F11" i="1"/>
  <c r="F10" i="1"/>
  <c r="F9" i="1"/>
  <c r="F8" i="1"/>
  <c r="F7" i="1"/>
  <c r="F6" i="1"/>
  <c r="I22" i="1" l="1"/>
  <c r="I19" i="1"/>
  <c r="I25" i="1"/>
  <c r="G27" i="1"/>
  <c r="I27" i="1" s="1"/>
  <c r="I23" i="1"/>
  <c r="G26" i="1"/>
  <c r="I26" i="1" s="1"/>
  <c r="G21" i="1"/>
  <c r="I21" i="1" s="1"/>
  <c r="I28" i="1"/>
  <c r="I20" i="1"/>
  <c r="G8" i="1"/>
  <c r="C6" i="1"/>
  <c r="C7" i="1"/>
  <c r="G7" i="1" s="1"/>
  <c r="C8" i="1"/>
  <c r="C9" i="1"/>
  <c r="D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D8" i="1"/>
  <c r="D10" i="1"/>
  <c r="G9" i="1" l="1"/>
  <c r="I9" i="1" s="1"/>
  <c r="D15" i="1"/>
  <c r="D7" i="1"/>
  <c r="I10" i="1"/>
  <c r="D14" i="1"/>
  <c r="D6" i="1"/>
  <c r="I6" i="1" s="1"/>
  <c r="D13" i="1"/>
  <c r="I8" i="1"/>
  <c r="D12" i="1"/>
  <c r="I12" i="1" s="1"/>
  <c r="D11" i="1"/>
  <c r="I11" i="1" s="1"/>
  <c r="I13" i="1" l="1"/>
  <c r="I15" i="1"/>
  <c r="I14" i="1"/>
  <c r="I7" i="1"/>
</calcChain>
</file>

<file path=xl/sharedStrings.xml><?xml version="1.0" encoding="utf-8"?>
<sst xmlns="http://schemas.openxmlformats.org/spreadsheetml/2006/main" count="189" uniqueCount="129">
  <si>
    <t>n</t>
  </si>
  <si>
    <t>D = n*f + n*1</t>
  </si>
  <si>
    <t>Clogic</t>
  </si>
  <si>
    <t>product</t>
  </si>
  <si>
    <t>power comsuption = C * V^2*f</t>
  </si>
  <si>
    <t>Cin(fF)</t>
  </si>
  <si>
    <t>Cout(fF)</t>
  </si>
  <si>
    <t>F = Cout/Cin</t>
  </si>
  <si>
    <t>f = F^(1/n) = 2645.45765^(1/n) = gh</t>
  </si>
  <si>
    <t>Clogic(fF)</t>
  </si>
  <si>
    <t>power comsuption(W/Hz) = C * V^2*f</t>
  </si>
  <si>
    <t>f = F^(1/n) = 2663.71882^(1/n) = gh</t>
  </si>
  <si>
    <t>.subckt PM_INV_WIRE_VOUT 4 59 64</t>
  </si>
  <si>
    <t>.ends</t>
  </si>
  <si>
    <t>c0</t>
  </si>
  <si>
    <t>0.194318f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</si>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</sst>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Product</a:t>
            </a:r>
            <a:r>
              <a:rPr lang="en-US" sz="1100" baseline="0"/>
              <a:t> of delay and power of inverter chain(without n=1)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and 2'!$A$7:$A$15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'part1 and 2'!$I$7:$I$15</c:f>
              <c:numCache>
                <c:formatCode>General</c:formatCode>
                <c:ptCount val="9"/>
                <c:pt idx="0">
                  <c:v>0.350769592084263</c:v>
                </c:pt>
                <c:pt idx="1">
                  <c:v>0.16249012369444141</c:v>
                </c:pt>
                <c:pt idx="2">
                  <c:v>0.13391538930918237</c:v>
                </c:pt>
                <c:pt idx="3">
                  <c:v>0.13477463630374553</c:v>
                </c:pt>
                <c:pt idx="4">
                  <c:v>0.14680832406255995</c:v>
                </c:pt>
                <c:pt idx="5">
                  <c:v>0.16516537579143237</c:v>
                </c:pt>
                <c:pt idx="6">
                  <c:v>0.18806943141702517</c:v>
                </c:pt>
                <c:pt idx="7">
                  <c:v>0.21472962233690046</c:v>
                </c:pt>
                <c:pt idx="8">
                  <c:v>0.24474413170732343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3-4BB6-BEF5-E03FFD29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6879"/>
        <c:axId val="36839071"/>
      </c:scatterChart>
      <c:valAx>
        <c:axId val="353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Stages:</a:t>
                </a:r>
                <a:r>
                  <a:rPr lang="en-US" baseline="0"/>
                  <a:t> </a:t>
                </a: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9071"/>
        <c:crosses val="autoZero"/>
        <c:crossBetween val="midCat"/>
      </c:valAx>
      <c:valAx>
        <c:axId val="368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of delay and power: D * W/Hz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of delay and power of NAND2 chain(without 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and 2'!$A$20:$A$28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'part1 and 2'!$I$20:$I$28</c:f>
              <c:numCache>
                <c:formatCode>General</c:formatCode>
                <c:ptCount val="9"/>
                <c:pt idx="0">
                  <c:v>0.35336609772846783</c:v>
                </c:pt>
                <c:pt idx="1">
                  <c:v>0.16521054337835728</c:v>
                </c:pt>
                <c:pt idx="2">
                  <c:v>0.1377542392916076</c:v>
                </c:pt>
                <c:pt idx="3">
                  <c:v>0.1401615977252387</c:v>
                </c:pt>
                <c:pt idx="4">
                  <c:v>0.15411389366454406</c:v>
                </c:pt>
                <c:pt idx="5">
                  <c:v>0.1747476173357573</c:v>
                </c:pt>
                <c:pt idx="6">
                  <c:v>0.20028266469485298</c:v>
                </c:pt>
                <c:pt idx="7">
                  <c:v>0.22992674849142875</c:v>
                </c:pt>
                <c:pt idx="8">
                  <c:v>0.26327741943160626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E1E-B8B7-33475FEC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02047"/>
        <c:axId val="2015184431"/>
      </c:scatterChart>
      <c:valAx>
        <c:axId val="17638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Stages: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84431"/>
        <c:crosses val="autoZero"/>
        <c:crossBetween val="midCat"/>
      </c:valAx>
      <c:valAx>
        <c:axId val="20151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of delay and power: D * W/Hz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3810</xdr:rowOff>
    </xdr:from>
    <xdr:to>
      <xdr:col>16</xdr:col>
      <xdr:colOff>320040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9F0BA-80FC-AD9A-8A5A-AF3C018A3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17</xdr:row>
      <xdr:rowOff>3810</xdr:rowOff>
    </xdr:from>
    <xdr:to>
      <xdr:col>16</xdr:col>
      <xdr:colOff>320040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5377A-F1D6-025B-DD1C-6E8F65B93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D22" sqref="D22"/>
    </sheetView>
  </sheetViews>
  <sheetFormatPr defaultRowHeight="14.4" x14ac:dyDescent="0.3"/>
  <cols>
    <col min="2" max="2" width="11.44140625" customWidth="1"/>
    <col min="3" max="3" width="37.6640625" customWidth="1"/>
    <col min="4" max="4" width="11.5546875" customWidth="1"/>
    <col min="5" max="5" width="9.77734375" customWidth="1"/>
    <col min="7" max="7" width="34.6640625" customWidth="1"/>
    <col min="8" max="8" width="10" customWidth="1"/>
  </cols>
  <sheetData>
    <row r="1" spans="1:9" x14ac:dyDescent="0.3">
      <c r="A1" t="s">
        <v>5</v>
      </c>
      <c r="B1">
        <f>1.86+5.7001</f>
        <v>7.5601000000000003</v>
      </c>
    </row>
    <row r="2" spans="1:9" x14ac:dyDescent="0.3">
      <c r="A2" t="s">
        <v>6</v>
      </c>
      <c r="B2">
        <f>1.4167+3.368</f>
        <v>4.7847</v>
      </c>
    </row>
    <row r="5" spans="1:9" x14ac:dyDescent="0.3">
      <c r="A5" s="1" t="s">
        <v>0</v>
      </c>
      <c r="B5" s="1" t="s">
        <v>7</v>
      </c>
      <c r="C5" s="1" t="s">
        <v>8</v>
      </c>
      <c r="D5" s="1" t="s">
        <v>1</v>
      </c>
      <c r="E5" s="1" t="s">
        <v>0</v>
      </c>
      <c r="F5" s="1" t="s">
        <v>9</v>
      </c>
      <c r="G5" s="1" t="s">
        <v>10</v>
      </c>
      <c r="H5" s="1"/>
      <c r="I5" s="1" t="s">
        <v>3</v>
      </c>
    </row>
    <row r="6" spans="1:9" x14ac:dyDescent="0.3">
      <c r="A6" s="1">
        <v>1</v>
      </c>
      <c r="B6" s="1">
        <f>20000/7.5601</f>
        <v>2645.4676525442783</v>
      </c>
      <c r="C6" s="1">
        <f>(20/(1.86+5.7001)*10^3)^(1/A6)</f>
        <v>2645.4676525442787</v>
      </c>
      <c r="D6" s="1">
        <f t="shared" ref="D6:D15" si="0">A6*C6+A6</f>
        <v>2646.4676525442787</v>
      </c>
      <c r="E6" s="1">
        <v>1</v>
      </c>
      <c r="F6" s="1">
        <f>20*1000+(1.86+5.7001)+( 1.4167+3.368)</f>
        <v>20012.344799999999</v>
      </c>
      <c r="G6" s="1">
        <f>F6*1.8^2*50*10^(-9)</f>
        <v>3.2419998576000003E-3</v>
      </c>
      <c r="H6" s="1"/>
      <c r="I6" s="1">
        <f t="shared" ref="I6:I15" si="1">G6*D6</f>
        <v>8.579847752691558</v>
      </c>
    </row>
    <row r="7" spans="1:9" x14ac:dyDescent="0.3">
      <c r="A7" s="1">
        <v>2</v>
      </c>
      <c r="B7" s="1">
        <f t="shared" ref="B7:B15" si="2">20000/7.5601</f>
        <v>2645.4676525442783</v>
      </c>
      <c r="C7" s="1">
        <f t="shared" ref="C7:C15" si="3">(20/(1.86+5.7001)*10^3)^(1/A7)</f>
        <v>51.434109815804909</v>
      </c>
      <c r="D7" s="1">
        <f t="shared" si="0"/>
        <v>104.86821963160982</v>
      </c>
      <c r="E7" s="1">
        <v>2</v>
      </c>
      <c r="F7" s="1">
        <f>20*1000+(1.86+5.7001)*(1+C7)+(1.4167+3.368)*(1+C7)</f>
        <v>20647.288598854149</v>
      </c>
      <c r="G7" s="1">
        <f t="shared" ref="G7:G15" si="4">F7*1.8^2*50*10^(-9)</f>
        <v>3.3448607530143725E-3</v>
      </c>
      <c r="H7" s="1"/>
      <c r="I7" s="1">
        <f t="shared" si="1"/>
        <v>0.350769592084263</v>
      </c>
    </row>
    <row r="8" spans="1:9" x14ac:dyDescent="0.3">
      <c r="A8" s="1">
        <v>3</v>
      </c>
      <c r="B8" s="1">
        <f t="shared" si="2"/>
        <v>2645.4676525442783</v>
      </c>
      <c r="C8" s="1">
        <f t="shared" si="3"/>
        <v>13.83038124252265</v>
      </c>
      <c r="D8" s="1">
        <f t="shared" si="0"/>
        <v>44.491143727567952</v>
      </c>
      <c r="E8" s="1">
        <v>3</v>
      </c>
      <c r="F8" s="1">
        <f>20*1000+(1.86+5.7001)*(1+C8+C8^2)+(1.4167+3.368)*(1+C8+C8^2)</f>
        <v>22544.384586869062</v>
      </c>
      <c r="G8" s="1">
        <f t="shared" si="4"/>
        <v>3.6521903030727887E-3</v>
      </c>
      <c r="H8" s="1"/>
      <c r="I8" s="1">
        <f t="shared" si="1"/>
        <v>0.16249012369444141</v>
      </c>
    </row>
    <row r="9" spans="1:9" x14ac:dyDescent="0.3">
      <c r="A9" s="1">
        <v>4</v>
      </c>
      <c r="B9" s="1">
        <f t="shared" si="2"/>
        <v>2645.4676525442783</v>
      </c>
      <c r="C9" s="1">
        <f t="shared" si="3"/>
        <v>7.1717577912116433</v>
      </c>
      <c r="D9" s="1">
        <f t="shared" si="0"/>
        <v>32.687031164846573</v>
      </c>
      <c r="E9" s="1">
        <v>4</v>
      </c>
      <c r="F9" s="1">
        <f>20*1000+(1.86+5.7001)*(1+C9+C9^2+C9^3)+(1.4167+3.368)*(1+C9+C9^2+C9^3)</f>
        <v>25289.485650848856</v>
      </c>
      <c r="G9" s="1">
        <f t="shared" si="4"/>
        <v>4.096896675437515E-3</v>
      </c>
      <c r="H9" s="1"/>
      <c r="I9" s="1">
        <f t="shared" si="1"/>
        <v>0.13391538930918237</v>
      </c>
    </row>
    <row r="10" spans="1:9" x14ac:dyDescent="0.3">
      <c r="A10" s="1">
        <v>5</v>
      </c>
      <c r="B10" s="1">
        <f t="shared" si="2"/>
        <v>2645.4676525442783</v>
      </c>
      <c r="C10" s="1">
        <f t="shared" si="3"/>
        <v>4.8361581118869461</v>
      </c>
      <c r="D10" s="1">
        <f t="shared" si="0"/>
        <v>29.18079055943473</v>
      </c>
      <c r="E10" s="1">
        <v>5</v>
      </c>
      <c r="F10" s="1">
        <f>20*1000+(1.86+5.7001)*(1+C10+C10^2+C10^3+C10^4)+(1.4167+3.368)*(1+C10+C10^2+C10^3+C10^4)</f>
        <v>28509.92668314989</v>
      </c>
      <c r="G10" s="1">
        <f t="shared" si="4"/>
        <v>4.6186081226702825E-3</v>
      </c>
      <c r="H10" s="1"/>
      <c r="I10" s="1">
        <f t="shared" si="1"/>
        <v>0.13477463630374553</v>
      </c>
    </row>
    <row r="11" spans="1:9" x14ac:dyDescent="0.3">
      <c r="A11" s="1">
        <v>6</v>
      </c>
      <c r="B11" s="1">
        <f t="shared" si="2"/>
        <v>2645.4676525442783</v>
      </c>
      <c r="C11" s="1">
        <f t="shared" si="3"/>
        <v>3.7189220538380003</v>
      </c>
      <c r="D11" s="1">
        <f t="shared" si="0"/>
        <v>28.313532323028003</v>
      </c>
      <c r="E11" s="1">
        <v>6</v>
      </c>
      <c r="F11" s="1">
        <f>20*1000+(1.86+5.7001)*(1+C11+C11^2+C11^3+C11^4+C11^5)+(1.4167+3.368)*(1+C11+C11^2+C11^3+C11^4+C11^5)</f>
        <v>32006.752540421916</v>
      </c>
      <c r="G11" s="1">
        <f t="shared" si="4"/>
        <v>5.1850939115483516E-3</v>
      </c>
      <c r="H11" s="1"/>
      <c r="I11" s="1">
        <f t="shared" si="1"/>
        <v>0.14680832406255995</v>
      </c>
    </row>
    <row r="12" spans="1:9" x14ac:dyDescent="0.3">
      <c r="A12" s="1">
        <v>7</v>
      </c>
      <c r="B12" s="1">
        <f t="shared" si="2"/>
        <v>2645.4676525442783</v>
      </c>
      <c r="C12" s="1">
        <f t="shared" si="3"/>
        <v>3.0826833888952239</v>
      </c>
      <c r="D12" s="1">
        <f t="shared" si="0"/>
        <v>28.578783722266568</v>
      </c>
      <c r="E12" s="1">
        <v>7</v>
      </c>
      <c r="F12" s="1">
        <f>20*1000+(1.86+5.7001)*(1+C12+C12^2+C12^3+C12^4+C12^5+C12^6)+(1.4167+3.368)*(1+C12+C12^2+C12^3+C12^4+C12^5+C12^6)</f>
        <v>35674.693739428934</v>
      </c>
      <c r="G12" s="1">
        <f t="shared" si="4"/>
        <v>5.7793003857874881E-3</v>
      </c>
      <c r="H12" s="1"/>
      <c r="I12" s="1">
        <f t="shared" si="1"/>
        <v>0.16516537579143237</v>
      </c>
    </row>
    <row r="13" spans="1:9" x14ac:dyDescent="0.3">
      <c r="A13" s="1">
        <v>8</v>
      </c>
      <c r="B13" s="1">
        <f t="shared" si="2"/>
        <v>2645.4676525442783</v>
      </c>
      <c r="C13" s="1">
        <f t="shared" si="3"/>
        <v>2.6780137772632244</v>
      </c>
      <c r="D13" s="1">
        <f t="shared" si="0"/>
        <v>29.424110218105795</v>
      </c>
      <c r="E13" s="1">
        <v>8</v>
      </c>
      <c r="F13" s="1">
        <f>20*1000+(1.86+5.7001)*(1+C13+C13^2+C13^3+C13^4+C13^5+C13^6+C13^7)+(1.4167+3.368)*(1+C13+C13^2+C13^3+C13^4+C13^5+C13^6+C13^7)</f>
        <v>39454.801098458222</v>
      </c>
      <c r="G13" s="1">
        <f t="shared" si="4"/>
        <v>6.3916777779502321E-3</v>
      </c>
      <c r="H13" s="1"/>
      <c r="I13" s="1">
        <f t="shared" si="1"/>
        <v>0.18806943141702517</v>
      </c>
    </row>
    <row r="14" spans="1:9" x14ac:dyDescent="0.3">
      <c r="A14" s="1">
        <v>9</v>
      </c>
      <c r="B14" s="1">
        <f t="shared" si="2"/>
        <v>2645.4676525442783</v>
      </c>
      <c r="C14" s="1">
        <f t="shared" si="3"/>
        <v>2.4003692280613955</v>
      </c>
      <c r="D14" s="1">
        <f t="shared" si="0"/>
        <v>30.603323052552561</v>
      </c>
      <c r="E14" s="1">
        <v>9</v>
      </c>
      <c r="F14" s="1">
        <f>20*1000+(1.86+5.7001)*(1+C14+C14^2+C14^3+C14^4+C14^5+C14^6+C14^7+C14^8)+(1.4167+3.368)*(1+C14+C14^2+C14^3+C14^4+C14^5+C14^6+C14^7+C14^8)</f>
        <v>43312.012020088005</v>
      </c>
      <c r="G14" s="1">
        <f t="shared" si="4"/>
        <v>7.0165459472542576E-3</v>
      </c>
      <c r="H14" s="1"/>
      <c r="I14" s="1">
        <f t="shared" si="1"/>
        <v>0.21472962233690046</v>
      </c>
    </row>
    <row r="15" spans="1:9" x14ac:dyDescent="0.3">
      <c r="A15" s="1">
        <v>10</v>
      </c>
      <c r="B15" s="1">
        <f t="shared" si="2"/>
        <v>2645.4676525442783</v>
      </c>
      <c r="C15" s="1">
        <f t="shared" si="3"/>
        <v>2.1991266702686652</v>
      </c>
      <c r="D15" s="1">
        <f t="shared" si="0"/>
        <v>31.991266702686652</v>
      </c>
      <c r="E15" s="1">
        <v>10</v>
      </c>
      <c r="F15" s="1">
        <f>20*1000+(1.86+5.7001)*(1+C15+C15^2+C15^3+C15^4+C15^5+C15^6+C15^7+C15^8+C15^9)+(1.4167+3.368)*(1+C15+C15^2+C15^3+C15^4+C15^5+C15^6+C15^7+C15^8+C15^9)</f>
        <v>47224.333414095767</v>
      </c>
      <c r="G15" s="1">
        <f t="shared" si="4"/>
        <v>7.6503420130835153E-3</v>
      </c>
      <c r="H15" s="1"/>
      <c r="I15" s="1">
        <f t="shared" si="1"/>
        <v>0.24474413170732343</v>
      </c>
    </row>
    <row r="16" spans="1:9" x14ac:dyDescent="0.3">
      <c r="A16" t="s">
        <v>5</v>
      </c>
      <c r="B16">
        <f>1.6541+1.6541+1.9707+2.2294</f>
        <v>7.5083000000000002</v>
      </c>
    </row>
    <row r="17" spans="1:9" x14ac:dyDescent="0.3">
      <c r="A17" t="s">
        <v>6</v>
      </c>
      <c r="B17">
        <f>1.0911+1.0911+1.4664+2.7204</f>
        <v>6.3689999999999998</v>
      </c>
    </row>
    <row r="18" spans="1:9" x14ac:dyDescent="0.3">
      <c r="A18" s="1" t="s">
        <v>0</v>
      </c>
      <c r="B18" s="1"/>
      <c r="C18" s="1" t="s">
        <v>11</v>
      </c>
      <c r="D18" s="1" t="s">
        <v>1</v>
      </c>
      <c r="E18" s="1" t="s">
        <v>0</v>
      </c>
      <c r="F18" s="1" t="s">
        <v>2</v>
      </c>
      <c r="G18" s="1" t="s">
        <v>4</v>
      </c>
      <c r="H18" s="1"/>
      <c r="I18" s="1" t="s">
        <v>3</v>
      </c>
    </row>
    <row r="19" spans="1:9" x14ac:dyDescent="0.3">
      <c r="A19" s="1">
        <v>1</v>
      </c>
      <c r="B19" s="1">
        <f>20/7.5083</f>
        <v>2.6637188178415885</v>
      </c>
      <c r="C19" s="1">
        <f>(20/(B16)*10^3)^(1/A19)</f>
        <v>2663.7188178415886</v>
      </c>
      <c r="D19" s="1">
        <f>A19*C19+A19*1</f>
        <v>2664.7188178415886</v>
      </c>
      <c r="E19" s="1">
        <v>1</v>
      </c>
      <c r="F19" s="1">
        <f>20*1000+(7.5083)+( 6.369)</f>
        <v>20013.8773</v>
      </c>
      <c r="G19" s="1">
        <f>F19*1.8^2*50*10^(-9)</f>
        <v>3.2422481226000006E-3</v>
      </c>
      <c r="H19" s="1"/>
      <c r="I19" s="1">
        <f>G19*D19</f>
        <v>8.6396795844037833</v>
      </c>
    </row>
    <row r="20" spans="1:9" x14ac:dyDescent="0.3">
      <c r="A20" s="1">
        <v>2</v>
      </c>
      <c r="B20" s="1"/>
      <c r="C20" s="1">
        <f>(20/(7.5083)*10^3)^(1/A20)</f>
        <v>51.6112276335449</v>
      </c>
      <c r="D20" s="1">
        <f t="shared" ref="D20:D28" si="5">A20*C20+A20*1</f>
        <v>105.2224552670898</v>
      </c>
      <c r="E20" s="1">
        <v>2</v>
      </c>
      <c r="F20" s="1">
        <f>20*1000+(7.5083)*(1+C20)+(6.369)*(1+C20)</f>
        <v>20730.101789238994</v>
      </c>
      <c r="G20" s="1">
        <f t="shared" ref="G20:G28" si="6">F20*1.8^2*50*10^(-9)</f>
        <v>3.3582764898567176E-3</v>
      </c>
      <c r="H20" s="1"/>
      <c r="I20" s="1">
        <f t="shared" ref="I20:I28" si="7">G20*D20</f>
        <v>0.35336609772846783</v>
      </c>
    </row>
    <row r="21" spans="1:9" x14ac:dyDescent="0.3">
      <c r="A21" s="1">
        <v>3</v>
      </c>
      <c r="B21" s="1"/>
      <c r="C21" s="1">
        <f t="shared" ref="C21:C28" si="8">(20/(7.5083)*10^3)^(1/A21)</f>
        <v>13.862113792442004</v>
      </c>
      <c r="D21" s="1">
        <f t="shared" si="5"/>
        <v>44.586341377326015</v>
      </c>
      <c r="E21" s="1">
        <v>3</v>
      </c>
      <c r="F21" s="1">
        <f>20*1000+(7.5083)*(1+C21+C21^2)+(6.369)*(1+C21+C21^2)</f>
        <v>22872.882983864307</v>
      </c>
      <c r="G21" s="1">
        <f t="shared" si="6"/>
        <v>3.7054070433860183E-3</v>
      </c>
      <c r="H21" s="1"/>
      <c r="I21" s="1">
        <f t="shared" si="7"/>
        <v>0.16521054337835728</v>
      </c>
    </row>
    <row r="22" spans="1:9" x14ac:dyDescent="0.3">
      <c r="A22" s="1">
        <v>4</v>
      </c>
      <c r="B22" s="1"/>
      <c r="C22" s="1">
        <f t="shared" si="8"/>
        <v>7.1840954638385002</v>
      </c>
      <c r="D22" s="1">
        <f t="shared" si="5"/>
        <v>32.736381855353997</v>
      </c>
      <c r="E22" s="1">
        <v>4</v>
      </c>
      <c r="F22" s="1">
        <f>20*1000+(7.5083)*(1+C22+C22^2+C22^3)+(6.369)*(1+C22+C22^2+C22^3)</f>
        <v>25975.222741451213</v>
      </c>
      <c r="G22" s="1">
        <f t="shared" si="6"/>
        <v>4.2079860841150972E-3</v>
      </c>
      <c r="H22" s="1"/>
      <c r="I22" s="1">
        <f t="shared" si="7"/>
        <v>0.1377542392916076</v>
      </c>
    </row>
    <row r="23" spans="1:9" x14ac:dyDescent="0.3">
      <c r="A23" s="1">
        <v>5</v>
      </c>
      <c r="B23" s="1"/>
      <c r="C23" s="1">
        <f t="shared" si="8"/>
        <v>4.8428127346185423</v>
      </c>
      <c r="D23" s="1">
        <f t="shared" si="5"/>
        <v>29.21406367309271</v>
      </c>
      <c r="E23" s="1">
        <v>5</v>
      </c>
      <c r="F23" s="1">
        <f>20*1000+(7.5083)*(1+C23+C23^2+C23^3+C23^4)+(6.369)*(1+C23+C23^2+C23^3+C23^4)</f>
        <v>29615.703497063878</v>
      </c>
      <c r="G23" s="1">
        <f t="shared" si="6"/>
        <v>4.7977439665243485E-3</v>
      </c>
      <c r="H23" s="1"/>
      <c r="I23" s="1">
        <f t="shared" si="7"/>
        <v>0.1401615977252387</v>
      </c>
    </row>
    <row r="24" spans="1:9" x14ac:dyDescent="0.3">
      <c r="A24" s="1">
        <v>6</v>
      </c>
      <c r="B24" s="1"/>
      <c r="C24" s="1">
        <f t="shared" si="8"/>
        <v>3.7231859733891892</v>
      </c>
      <c r="D24" s="1">
        <f t="shared" si="5"/>
        <v>28.339115840335136</v>
      </c>
      <c r="E24" s="1">
        <v>6</v>
      </c>
      <c r="F24" s="1">
        <f>20*1000+(7.5083)*(1+C24+C24^2+C24^3+C24^4+C24^5)+(6.369)*(1+C24+C24^2+C24^3+C24^4+C24^5)</f>
        <v>33569.160612576379</v>
      </c>
      <c r="G24" s="1">
        <f t="shared" si="6"/>
        <v>5.4382040192373741E-3</v>
      </c>
      <c r="H24" s="1"/>
      <c r="I24" s="1">
        <f t="shared" si="7"/>
        <v>0.15411389366454406</v>
      </c>
    </row>
    <row r="25" spans="1:9" x14ac:dyDescent="0.3">
      <c r="A25" s="1">
        <v>7</v>
      </c>
      <c r="B25" s="1"/>
      <c r="C25" s="1">
        <f t="shared" si="8"/>
        <v>3.0857126625354141</v>
      </c>
      <c r="D25" s="1">
        <f t="shared" si="5"/>
        <v>28.599988637747899</v>
      </c>
      <c r="E25" s="1">
        <v>7</v>
      </c>
      <c r="F25" s="1">
        <f>20*1000+(7.5083)*(1+C25+C25^2+C25^3+C25^4+C25^5+C25^6)+(6.369)*(1+C25+C25^2+C25^3+C25^4+C25^5+C25^6)</f>
        <v>37716.413442067627</v>
      </c>
      <c r="G25" s="1">
        <f t="shared" si="6"/>
        <v>6.1100589776149567E-3</v>
      </c>
      <c r="H25" s="1"/>
      <c r="I25" s="1">
        <f t="shared" si="7"/>
        <v>0.1747476173357573</v>
      </c>
    </row>
    <row r="26" spans="1:9" x14ac:dyDescent="0.3">
      <c r="A26" s="1">
        <v>8</v>
      </c>
      <c r="B26" s="1"/>
      <c r="C26" s="1">
        <f t="shared" si="8"/>
        <v>2.680316299215169</v>
      </c>
      <c r="D26" s="1">
        <f t="shared" si="5"/>
        <v>29.442530393721352</v>
      </c>
      <c r="E26" s="1">
        <v>8</v>
      </c>
      <c r="F26" s="1">
        <f>20*1000+(7.5083)*(1+C26+C26^2+C26^3+C26^4+C26^5+C26^6+C26^7)+(B17)*(1+C26+C26^2+C26^3+C26^4+C26^5+C26^6+C26^7)</f>
        <v>41990.70964680404</v>
      </c>
      <c r="G26" s="1">
        <f t="shared" si="6"/>
        <v>6.8024949627822559E-3</v>
      </c>
      <c r="H26" s="1"/>
      <c r="I26" s="1">
        <f t="shared" si="7"/>
        <v>0.20028266469485298</v>
      </c>
    </row>
    <row r="27" spans="1:9" x14ac:dyDescent="0.3">
      <c r="A27" s="1">
        <v>9</v>
      </c>
      <c r="B27" s="1"/>
      <c r="C27" s="1">
        <f t="shared" si="8"/>
        <v>2.4022036353286325</v>
      </c>
      <c r="D27" s="1">
        <f t="shared" si="5"/>
        <v>30.619832717957692</v>
      </c>
      <c r="E27" s="1">
        <v>9</v>
      </c>
      <c r="F27" s="1">
        <f>20*1000+(B16)*(1+C27+C27^2+C27^3+C27^4+C27^5+C27^6+C27^7+C27^8)+(B17)*(1+C27+C27^2+C27^3+C27^4+C27^5+C27^6+C27^7+C27^8)</f>
        <v>46352.340644283686</v>
      </c>
      <c r="G27" s="1">
        <f t="shared" si="6"/>
        <v>7.5090791843739572E-3</v>
      </c>
      <c r="H27" s="1"/>
      <c r="I27" s="1">
        <f t="shared" si="7"/>
        <v>0.22992674849142875</v>
      </c>
    </row>
    <row r="28" spans="1:9" x14ac:dyDescent="0.3">
      <c r="A28" s="1">
        <v>10</v>
      </c>
      <c r="B28" s="1"/>
      <c r="C28" s="1">
        <f t="shared" si="8"/>
        <v>2.2006391650196861</v>
      </c>
      <c r="D28" s="1">
        <f t="shared" si="5"/>
        <v>32.006391650196861</v>
      </c>
      <c r="E28" s="1">
        <v>10</v>
      </c>
      <c r="F28" s="1">
        <f>20*1000+(B16)*(1+C28+C28^2+C28^3+C28^4+C28^5+C28^6+C28^7+C28^8+C28^9)+(B17)*(1+C28+C28^2+C28^3+C28^4+C28^5+C28^6+C28^7+C28^8+C28^9)</f>
        <v>50776.397211919386</v>
      </c>
      <c r="G28" s="1">
        <f t="shared" si="6"/>
        <v>8.2257763483309411E-3</v>
      </c>
      <c r="H28" s="1"/>
      <c r="I28" s="1">
        <f t="shared" si="7"/>
        <v>0.26327741943160626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7408-218E-4FEC-A822-FCC9D629A9E8}">
  <dimension ref="A1:K116"/>
  <sheetViews>
    <sheetView topLeftCell="A37" workbookViewId="0">
      <selection activeCell="F51" sqref="F51"/>
    </sheetView>
  </sheetViews>
  <sheetFormatPr defaultRowHeight="14.4" x14ac:dyDescent="0.3"/>
  <sheetData>
    <row r="1" spans="1:11" x14ac:dyDescent="0.3">
      <c r="A1" t="s">
        <v>12</v>
      </c>
    </row>
    <row r="2" spans="1:11" x14ac:dyDescent="0.3">
      <c r="A2" t="s">
        <v>14</v>
      </c>
      <c r="B2">
        <v>67</v>
      </c>
      <c r="C2">
        <v>0</v>
      </c>
      <c r="D2" s="2" t="s">
        <v>15</v>
      </c>
      <c r="H2" t="s">
        <v>69</v>
      </c>
      <c r="I2">
        <v>66</v>
      </c>
      <c r="J2">
        <v>67</v>
      </c>
      <c r="K2">
        <v>8.1663499999999996</v>
      </c>
    </row>
    <row r="3" spans="1:11" x14ac:dyDescent="0.3">
      <c r="A3" t="s">
        <v>16</v>
      </c>
      <c r="B3">
        <v>62</v>
      </c>
      <c r="C3">
        <v>0</v>
      </c>
      <c r="D3" s="2" t="s">
        <v>15</v>
      </c>
      <c r="H3" t="s">
        <v>70</v>
      </c>
      <c r="I3">
        <v>64</v>
      </c>
      <c r="J3">
        <v>66</v>
      </c>
      <c r="K3">
        <v>2.9249999999999998</v>
      </c>
    </row>
    <row r="4" spans="1:11" x14ac:dyDescent="0.3">
      <c r="A4" t="s">
        <v>17</v>
      </c>
      <c r="B4">
        <v>58</v>
      </c>
      <c r="C4">
        <v>0</v>
      </c>
      <c r="D4" s="2" t="s">
        <v>15</v>
      </c>
      <c r="H4" t="s">
        <v>71</v>
      </c>
      <c r="I4">
        <v>61</v>
      </c>
      <c r="J4">
        <v>62</v>
      </c>
      <c r="K4">
        <v>2.7221199999999999</v>
      </c>
    </row>
    <row r="5" spans="1:11" x14ac:dyDescent="0.3">
      <c r="A5" t="s">
        <v>18</v>
      </c>
      <c r="B5">
        <v>54</v>
      </c>
      <c r="C5">
        <v>0</v>
      </c>
      <c r="D5" s="2" t="s">
        <v>15</v>
      </c>
      <c r="H5" t="s">
        <v>72</v>
      </c>
      <c r="I5">
        <v>59</v>
      </c>
      <c r="J5">
        <v>61</v>
      </c>
      <c r="K5">
        <v>0.97499999999999998</v>
      </c>
    </row>
    <row r="6" spans="1:11" x14ac:dyDescent="0.3">
      <c r="A6" t="s">
        <v>19</v>
      </c>
      <c r="B6">
        <v>53</v>
      </c>
      <c r="C6">
        <v>0</v>
      </c>
      <c r="D6" s="2" t="s">
        <v>15</v>
      </c>
      <c r="H6" t="s">
        <v>73</v>
      </c>
      <c r="I6">
        <v>57</v>
      </c>
      <c r="J6">
        <v>62</v>
      </c>
      <c r="K6">
        <v>0.31842599999999999</v>
      </c>
    </row>
    <row r="7" spans="1:11" x14ac:dyDescent="0.3">
      <c r="A7" t="s">
        <v>20</v>
      </c>
      <c r="B7">
        <v>52</v>
      </c>
      <c r="C7">
        <v>0</v>
      </c>
      <c r="D7" s="2" t="s">
        <v>15</v>
      </c>
      <c r="H7" t="s">
        <v>74</v>
      </c>
      <c r="I7">
        <v>57</v>
      </c>
      <c r="J7">
        <v>58</v>
      </c>
      <c r="K7">
        <v>1.58067E-2</v>
      </c>
    </row>
    <row r="8" spans="1:11" x14ac:dyDescent="0.3">
      <c r="A8" t="s">
        <v>21</v>
      </c>
      <c r="B8">
        <v>51</v>
      </c>
      <c r="C8">
        <v>0</v>
      </c>
      <c r="D8" s="2" t="s">
        <v>15</v>
      </c>
      <c r="H8" t="s">
        <v>75</v>
      </c>
      <c r="I8">
        <v>56</v>
      </c>
      <c r="J8">
        <v>67</v>
      </c>
      <c r="K8">
        <v>9.2936199999999997E-2</v>
      </c>
    </row>
    <row r="9" spans="1:11" x14ac:dyDescent="0.3">
      <c r="A9" t="s">
        <v>22</v>
      </c>
      <c r="B9">
        <v>50</v>
      </c>
      <c r="C9">
        <v>0</v>
      </c>
      <c r="D9" s="2" t="s">
        <v>15</v>
      </c>
      <c r="H9" t="s">
        <v>76</v>
      </c>
      <c r="I9">
        <v>56</v>
      </c>
      <c r="J9">
        <v>58</v>
      </c>
      <c r="K9">
        <v>1.58067E-2</v>
      </c>
    </row>
    <row r="10" spans="1:11" x14ac:dyDescent="0.3">
      <c r="A10" t="s">
        <v>23</v>
      </c>
      <c r="B10">
        <v>49</v>
      </c>
      <c r="C10">
        <v>0</v>
      </c>
      <c r="D10" s="2" t="s">
        <v>15</v>
      </c>
      <c r="H10" t="s">
        <v>77</v>
      </c>
      <c r="I10">
        <v>53</v>
      </c>
      <c r="J10">
        <v>54</v>
      </c>
      <c r="K10">
        <v>29.836099999999998</v>
      </c>
    </row>
    <row r="11" spans="1:11" x14ac:dyDescent="0.3">
      <c r="A11" t="s">
        <v>24</v>
      </c>
      <c r="B11">
        <v>48</v>
      </c>
      <c r="C11">
        <v>0</v>
      </c>
      <c r="D11" s="2" t="s">
        <v>15</v>
      </c>
      <c r="H11" t="s">
        <v>78</v>
      </c>
      <c r="I11">
        <v>52</v>
      </c>
      <c r="J11">
        <v>53</v>
      </c>
      <c r="K11">
        <v>29.836099999999998</v>
      </c>
    </row>
    <row r="12" spans="1:11" x14ac:dyDescent="0.3">
      <c r="A12" t="s">
        <v>25</v>
      </c>
      <c r="B12">
        <v>47</v>
      </c>
      <c r="C12">
        <v>0</v>
      </c>
      <c r="D12" s="2" t="s">
        <v>15</v>
      </c>
      <c r="H12" t="s">
        <v>79</v>
      </c>
      <c r="I12">
        <v>51</v>
      </c>
      <c r="J12">
        <v>52</v>
      </c>
      <c r="K12">
        <v>29.836099999999998</v>
      </c>
    </row>
    <row r="13" spans="1:11" x14ac:dyDescent="0.3">
      <c r="A13" t="s">
        <v>26</v>
      </c>
      <c r="B13">
        <v>46</v>
      </c>
      <c r="C13">
        <v>0</v>
      </c>
      <c r="D13" s="2" t="s">
        <v>15</v>
      </c>
      <c r="H13" t="s">
        <v>80</v>
      </c>
      <c r="I13">
        <v>50</v>
      </c>
      <c r="J13">
        <v>51</v>
      </c>
      <c r="K13">
        <v>29.836099999999998</v>
      </c>
    </row>
    <row r="14" spans="1:11" x14ac:dyDescent="0.3">
      <c r="A14" t="s">
        <v>27</v>
      </c>
      <c r="B14">
        <v>45</v>
      </c>
      <c r="C14">
        <v>0</v>
      </c>
      <c r="D14" s="2" t="s">
        <v>15</v>
      </c>
      <c r="H14" t="s">
        <v>81</v>
      </c>
      <c r="I14">
        <v>49</v>
      </c>
      <c r="J14">
        <v>50</v>
      </c>
      <c r="K14">
        <v>29.836099999999998</v>
      </c>
    </row>
    <row r="15" spans="1:11" x14ac:dyDescent="0.3">
      <c r="A15" t="s">
        <v>28</v>
      </c>
      <c r="B15">
        <v>44</v>
      </c>
      <c r="C15">
        <v>0</v>
      </c>
      <c r="D15" s="2" t="s">
        <v>15</v>
      </c>
      <c r="H15" t="s">
        <v>82</v>
      </c>
      <c r="I15">
        <v>48</v>
      </c>
      <c r="J15">
        <v>49</v>
      </c>
      <c r="K15">
        <v>29.836099999999998</v>
      </c>
    </row>
    <row r="16" spans="1:11" x14ac:dyDescent="0.3">
      <c r="A16" t="s">
        <v>29</v>
      </c>
      <c r="B16">
        <v>43</v>
      </c>
      <c r="C16">
        <v>0</v>
      </c>
      <c r="D16" s="2" t="s">
        <v>15</v>
      </c>
      <c r="H16" t="s">
        <v>83</v>
      </c>
      <c r="I16">
        <v>47</v>
      </c>
      <c r="J16">
        <v>48</v>
      </c>
      <c r="K16">
        <v>29.836099999999998</v>
      </c>
    </row>
    <row r="17" spans="1:11" x14ac:dyDescent="0.3">
      <c r="A17" t="s">
        <v>30</v>
      </c>
      <c r="B17">
        <v>42</v>
      </c>
      <c r="C17">
        <v>0</v>
      </c>
      <c r="D17" s="2" t="s">
        <v>15</v>
      </c>
      <c r="H17" t="s">
        <v>84</v>
      </c>
      <c r="I17">
        <v>46</v>
      </c>
      <c r="J17">
        <v>47</v>
      </c>
      <c r="K17">
        <v>29.836099999999998</v>
      </c>
    </row>
    <row r="18" spans="1:11" x14ac:dyDescent="0.3">
      <c r="A18" t="s">
        <v>31</v>
      </c>
      <c r="B18">
        <v>41</v>
      </c>
      <c r="C18">
        <v>0</v>
      </c>
      <c r="D18" s="2" t="s">
        <v>15</v>
      </c>
      <c r="H18" t="s">
        <v>85</v>
      </c>
      <c r="I18">
        <v>45</v>
      </c>
      <c r="J18">
        <v>46</v>
      </c>
      <c r="K18">
        <v>29.836099999999998</v>
      </c>
    </row>
    <row r="19" spans="1:11" x14ac:dyDescent="0.3">
      <c r="A19" t="s">
        <v>32</v>
      </c>
      <c r="B19">
        <v>40</v>
      </c>
      <c r="C19">
        <v>0</v>
      </c>
      <c r="D19" s="2" t="s">
        <v>15</v>
      </c>
      <c r="H19" t="s">
        <v>86</v>
      </c>
      <c r="I19">
        <v>44</v>
      </c>
      <c r="J19">
        <v>45</v>
      </c>
      <c r="K19">
        <v>29.836099999999998</v>
      </c>
    </row>
    <row r="20" spans="1:11" x14ac:dyDescent="0.3">
      <c r="A20" t="s">
        <v>33</v>
      </c>
      <c r="B20">
        <v>39</v>
      </c>
      <c r="C20">
        <v>0</v>
      </c>
      <c r="D20" s="2" t="s">
        <v>15</v>
      </c>
      <c r="H20" t="s">
        <v>87</v>
      </c>
      <c r="I20">
        <v>43</v>
      </c>
      <c r="J20">
        <v>44</v>
      </c>
      <c r="K20">
        <v>29.836099999999998</v>
      </c>
    </row>
    <row r="21" spans="1:11" x14ac:dyDescent="0.3">
      <c r="A21" t="s">
        <v>34</v>
      </c>
      <c r="B21">
        <v>38</v>
      </c>
      <c r="C21">
        <v>0</v>
      </c>
      <c r="D21" s="2" t="s">
        <v>15</v>
      </c>
      <c r="H21" t="s">
        <v>88</v>
      </c>
      <c r="I21">
        <v>42</v>
      </c>
      <c r="J21">
        <v>43</v>
      </c>
      <c r="K21">
        <v>29.836099999999998</v>
      </c>
    </row>
    <row r="22" spans="1:11" x14ac:dyDescent="0.3">
      <c r="A22" t="s">
        <v>35</v>
      </c>
      <c r="B22">
        <v>37</v>
      </c>
      <c r="C22">
        <v>0</v>
      </c>
      <c r="D22" s="2" t="s">
        <v>15</v>
      </c>
      <c r="H22" t="s">
        <v>89</v>
      </c>
      <c r="I22">
        <v>41</v>
      </c>
      <c r="J22">
        <v>42</v>
      </c>
      <c r="K22">
        <v>29.836099999999998</v>
      </c>
    </row>
    <row r="23" spans="1:11" x14ac:dyDescent="0.3">
      <c r="A23" t="s">
        <v>36</v>
      </c>
      <c r="B23">
        <v>36</v>
      </c>
      <c r="C23">
        <v>0</v>
      </c>
      <c r="D23" s="2" t="s">
        <v>15</v>
      </c>
      <c r="H23" t="s">
        <v>90</v>
      </c>
      <c r="I23">
        <v>40</v>
      </c>
      <c r="J23">
        <v>41</v>
      </c>
      <c r="K23">
        <v>29.836099999999998</v>
      </c>
    </row>
    <row r="24" spans="1:11" x14ac:dyDescent="0.3">
      <c r="A24" t="s">
        <v>37</v>
      </c>
      <c r="B24">
        <v>35</v>
      </c>
      <c r="C24">
        <v>0</v>
      </c>
      <c r="D24" s="2" t="s">
        <v>15</v>
      </c>
      <c r="H24" t="s">
        <v>91</v>
      </c>
      <c r="I24">
        <v>39</v>
      </c>
      <c r="J24">
        <v>40</v>
      </c>
      <c r="K24">
        <v>29.836099999999998</v>
      </c>
    </row>
    <row r="25" spans="1:11" x14ac:dyDescent="0.3">
      <c r="A25" t="s">
        <v>38</v>
      </c>
      <c r="B25">
        <v>34</v>
      </c>
      <c r="C25">
        <v>0</v>
      </c>
      <c r="D25" s="2" t="s">
        <v>15</v>
      </c>
      <c r="H25" t="s">
        <v>92</v>
      </c>
      <c r="I25">
        <v>38</v>
      </c>
      <c r="J25">
        <v>39</v>
      </c>
      <c r="K25">
        <v>29.836099999999998</v>
      </c>
    </row>
    <row r="26" spans="1:11" x14ac:dyDescent="0.3">
      <c r="A26" t="s">
        <v>39</v>
      </c>
      <c r="B26">
        <v>33</v>
      </c>
      <c r="C26">
        <v>0</v>
      </c>
      <c r="D26" s="2" t="s">
        <v>15</v>
      </c>
      <c r="H26" t="s">
        <v>93</v>
      </c>
      <c r="I26">
        <v>37</v>
      </c>
      <c r="J26">
        <v>38</v>
      </c>
      <c r="K26">
        <v>29.836099999999998</v>
      </c>
    </row>
    <row r="27" spans="1:11" x14ac:dyDescent="0.3">
      <c r="A27" t="s">
        <v>40</v>
      </c>
      <c r="B27">
        <v>32</v>
      </c>
      <c r="C27">
        <v>0</v>
      </c>
      <c r="D27" s="2" t="s">
        <v>15</v>
      </c>
      <c r="H27" t="s">
        <v>94</v>
      </c>
      <c r="I27">
        <v>36</v>
      </c>
      <c r="J27">
        <v>37</v>
      </c>
      <c r="K27">
        <v>29.836099999999998</v>
      </c>
    </row>
    <row r="28" spans="1:11" x14ac:dyDescent="0.3">
      <c r="A28" t="s">
        <v>41</v>
      </c>
      <c r="B28">
        <v>31</v>
      </c>
      <c r="C28">
        <v>0</v>
      </c>
      <c r="D28" s="2" t="s">
        <v>15</v>
      </c>
      <c r="H28" t="s">
        <v>95</v>
      </c>
      <c r="I28">
        <v>35</v>
      </c>
      <c r="J28">
        <v>36</v>
      </c>
      <c r="K28">
        <v>29.836099999999998</v>
      </c>
    </row>
    <row r="29" spans="1:11" x14ac:dyDescent="0.3">
      <c r="A29" t="s">
        <v>42</v>
      </c>
      <c r="B29">
        <v>30</v>
      </c>
      <c r="C29">
        <v>0</v>
      </c>
      <c r="D29" s="2" t="s">
        <v>15</v>
      </c>
      <c r="H29" t="s">
        <v>96</v>
      </c>
      <c r="I29">
        <v>34</v>
      </c>
      <c r="J29">
        <v>35</v>
      </c>
      <c r="K29">
        <v>29.836099999999998</v>
      </c>
    </row>
    <row r="30" spans="1:11" x14ac:dyDescent="0.3">
      <c r="A30" t="s">
        <v>43</v>
      </c>
      <c r="B30">
        <v>29</v>
      </c>
      <c r="C30">
        <v>0</v>
      </c>
      <c r="D30" s="2" t="s">
        <v>15</v>
      </c>
      <c r="H30" t="s">
        <v>97</v>
      </c>
      <c r="I30">
        <v>33</v>
      </c>
      <c r="J30">
        <v>34</v>
      </c>
      <c r="K30">
        <v>29.836099999999998</v>
      </c>
    </row>
    <row r="31" spans="1:11" x14ac:dyDescent="0.3">
      <c r="A31" t="s">
        <v>44</v>
      </c>
      <c r="B31">
        <v>28</v>
      </c>
      <c r="C31">
        <v>0</v>
      </c>
      <c r="D31" s="2" t="s">
        <v>15</v>
      </c>
      <c r="H31" t="s">
        <v>98</v>
      </c>
      <c r="I31">
        <v>32</v>
      </c>
      <c r="J31">
        <v>33</v>
      </c>
      <c r="K31">
        <v>29.836099999999998</v>
      </c>
    </row>
    <row r="32" spans="1:11" x14ac:dyDescent="0.3">
      <c r="A32" t="s">
        <v>45</v>
      </c>
      <c r="B32">
        <v>27</v>
      </c>
      <c r="C32">
        <v>0</v>
      </c>
      <c r="D32" s="2" t="s">
        <v>15</v>
      </c>
      <c r="H32" t="s">
        <v>99</v>
      </c>
      <c r="I32">
        <v>31</v>
      </c>
      <c r="J32">
        <v>32</v>
      </c>
      <c r="K32">
        <v>29.836099999999998</v>
      </c>
    </row>
    <row r="33" spans="1:11" x14ac:dyDescent="0.3">
      <c r="A33" t="s">
        <v>46</v>
      </c>
      <c r="B33">
        <v>26</v>
      </c>
      <c r="C33">
        <v>0</v>
      </c>
      <c r="D33" s="2" t="s">
        <v>15</v>
      </c>
      <c r="H33" t="s">
        <v>100</v>
      </c>
      <c r="I33">
        <v>30</v>
      </c>
      <c r="J33">
        <v>31</v>
      </c>
      <c r="K33">
        <v>29.836099999999998</v>
      </c>
    </row>
    <row r="34" spans="1:11" x14ac:dyDescent="0.3">
      <c r="A34" t="s">
        <v>47</v>
      </c>
      <c r="B34">
        <v>25</v>
      </c>
      <c r="C34">
        <v>0</v>
      </c>
      <c r="D34" s="2" t="s">
        <v>15</v>
      </c>
      <c r="H34" t="s">
        <v>101</v>
      </c>
      <c r="I34">
        <v>29</v>
      </c>
      <c r="J34">
        <v>30</v>
      </c>
      <c r="K34">
        <v>29.836099999999998</v>
      </c>
    </row>
    <row r="35" spans="1:11" x14ac:dyDescent="0.3">
      <c r="A35" t="s">
        <v>48</v>
      </c>
      <c r="B35">
        <v>24</v>
      </c>
      <c r="C35">
        <v>0</v>
      </c>
      <c r="D35" s="2" t="s">
        <v>15</v>
      </c>
      <c r="H35" t="s">
        <v>102</v>
      </c>
      <c r="I35">
        <v>28</v>
      </c>
      <c r="J35">
        <v>29</v>
      </c>
      <c r="K35">
        <v>29.836099999999998</v>
      </c>
    </row>
    <row r="36" spans="1:11" x14ac:dyDescent="0.3">
      <c r="A36" t="s">
        <v>49</v>
      </c>
      <c r="B36">
        <v>23</v>
      </c>
      <c r="C36">
        <v>0</v>
      </c>
      <c r="D36" s="2" t="s">
        <v>15</v>
      </c>
      <c r="H36" t="s">
        <v>103</v>
      </c>
      <c r="I36">
        <v>27</v>
      </c>
      <c r="J36">
        <v>28</v>
      </c>
      <c r="K36">
        <v>29.836099999999998</v>
      </c>
    </row>
    <row r="37" spans="1:11" x14ac:dyDescent="0.3">
      <c r="A37" t="s">
        <v>50</v>
      </c>
      <c r="B37">
        <v>22</v>
      </c>
      <c r="C37">
        <v>0</v>
      </c>
      <c r="D37" s="2" t="s">
        <v>15</v>
      </c>
      <c r="H37" t="s">
        <v>104</v>
      </c>
      <c r="I37">
        <v>26</v>
      </c>
      <c r="J37">
        <v>27</v>
      </c>
      <c r="K37">
        <v>29.836099999999998</v>
      </c>
    </row>
    <row r="38" spans="1:11" x14ac:dyDescent="0.3">
      <c r="A38" t="s">
        <v>51</v>
      </c>
      <c r="B38">
        <v>21</v>
      </c>
      <c r="C38">
        <v>0</v>
      </c>
      <c r="D38" s="2" t="s">
        <v>15</v>
      </c>
      <c r="H38" t="s">
        <v>105</v>
      </c>
      <c r="I38">
        <v>25</v>
      </c>
      <c r="J38">
        <v>26</v>
      </c>
      <c r="K38">
        <v>29.836099999999998</v>
      </c>
    </row>
    <row r="39" spans="1:11" x14ac:dyDescent="0.3">
      <c r="A39" t="s">
        <v>52</v>
      </c>
      <c r="B39">
        <v>20</v>
      </c>
      <c r="C39">
        <v>0</v>
      </c>
      <c r="D39" s="2" t="s">
        <v>15</v>
      </c>
      <c r="H39" t="s">
        <v>106</v>
      </c>
      <c r="I39">
        <v>24</v>
      </c>
      <c r="J39">
        <v>25</v>
      </c>
      <c r="K39">
        <v>29.836099999999998</v>
      </c>
    </row>
    <row r="40" spans="1:11" x14ac:dyDescent="0.3">
      <c r="A40" t="s">
        <v>53</v>
      </c>
      <c r="B40">
        <v>19</v>
      </c>
      <c r="C40">
        <v>0</v>
      </c>
      <c r="D40" s="2" t="s">
        <v>15</v>
      </c>
      <c r="H40" t="s">
        <v>107</v>
      </c>
      <c r="I40">
        <v>23</v>
      </c>
      <c r="J40">
        <v>24</v>
      </c>
      <c r="K40">
        <v>29.836099999999998</v>
      </c>
    </row>
    <row r="41" spans="1:11" x14ac:dyDescent="0.3">
      <c r="A41" t="s">
        <v>54</v>
      </c>
      <c r="B41">
        <v>18</v>
      </c>
      <c r="C41">
        <v>0</v>
      </c>
      <c r="D41" s="2" t="s">
        <v>15</v>
      </c>
      <c r="H41" t="s">
        <v>108</v>
      </c>
      <c r="I41">
        <v>22</v>
      </c>
      <c r="J41">
        <v>23</v>
      </c>
      <c r="K41">
        <v>29.836099999999998</v>
      </c>
    </row>
    <row r="42" spans="1:11" x14ac:dyDescent="0.3">
      <c r="A42" t="s">
        <v>55</v>
      </c>
      <c r="B42">
        <v>17</v>
      </c>
      <c r="C42">
        <v>0</v>
      </c>
      <c r="D42" s="2" t="s">
        <v>15</v>
      </c>
      <c r="H42" t="s">
        <v>109</v>
      </c>
      <c r="I42">
        <v>21</v>
      </c>
      <c r="J42">
        <v>22</v>
      </c>
      <c r="K42">
        <v>29.836099999999998</v>
      </c>
    </row>
    <row r="43" spans="1:11" x14ac:dyDescent="0.3">
      <c r="A43" t="s">
        <v>56</v>
      </c>
      <c r="B43">
        <v>16</v>
      </c>
      <c r="C43">
        <v>0</v>
      </c>
      <c r="D43" s="2" t="s">
        <v>15</v>
      </c>
      <c r="H43" t="s">
        <v>110</v>
      </c>
      <c r="I43">
        <v>20</v>
      </c>
      <c r="J43">
        <v>21</v>
      </c>
      <c r="K43">
        <v>29.836099999999998</v>
      </c>
    </row>
    <row r="44" spans="1:11" x14ac:dyDescent="0.3">
      <c r="A44" t="s">
        <v>57</v>
      </c>
      <c r="B44">
        <v>15</v>
      </c>
      <c r="C44">
        <v>0</v>
      </c>
      <c r="D44" s="2" t="s">
        <v>15</v>
      </c>
      <c r="H44" t="s">
        <v>111</v>
      </c>
      <c r="I44">
        <v>19</v>
      </c>
      <c r="J44">
        <v>20</v>
      </c>
      <c r="K44">
        <v>29.836099999999998</v>
      </c>
    </row>
    <row r="45" spans="1:11" x14ac:dyDescent="0.3">
      <c r="A45" t="s">
        <v>58</v>
      </c>
      <c r="B45">
        <v>14</v>
      </c>
      <c r="C45">
        <v>0</v>
      </c>
      <c r="D45" s="2" t="s">
        <v>15</v>
      </c>
      <c r="H45" t="s">
        <v>112</v>
      </c>
      <c r="I45">
        <v>18</v>
      </c>
      <c r="J45">
        <v>19</v>
      </c>
      <c r="K45">
        <v>29.836099999999998</v>
      </c>
    </row>
    <row r="46" spans="1:11" x14ac:dyDescent="0.3">
      <c r="A46" t="s">
        <v>59</v>
      </c>
      <c r="B46">
        <v>13</v>
      </c>
      <c r="C46">
        <v>0</v>
      </c>
      <c r="D46" s="2" t="s">
        <v>15</v>
      </c>
      <c r="H46" t="s">
        <v>113</v>
      </c>
      <c r="I46">
        <v>17</v>
      </c>
      <c r="J46">
        <v>18</v>
      </c>
      <c r="K46">
        <v>29.836099999999998</v>
      </c>
    </row>
    <row r="47" spans="1:11" x14ac:dyDescent="0.3">
      <c r="A47" t="s">
        <v>60</v>
      </c>
      <c r="B47">
        <v>12</v>
      </c>
      <c r="C47">
        <v>0</v>
      </c>
      <c r="D47" s="2" t="s">
        <v>15</v>
      </c>
      <c r="H47" t="s">
        <v>114</v>
      </c>
      <c r="I47">
        <v>16</v>
      </c>
      <c r="J47">
        <v>17</v>
      </c>
      <c r="K47">
        <v>29.836099999999998</v>
      </c>
    </row>
    <row r="48" spans="1:11" x14ac:dyDescent="0.3">
      <c r="A48" t="s">
        <v>61</v>
      </c>
      <c r="B48">
        <v>11</v>
      </c>
      <c r="C48">
        <v>0</v>
      </c>
      <c r="D48" s="2" t="s">
        <v>15</v>
      </c>
      <c r="H48" t="s">
        <v>115</v>
      </c>
      <c r="I48">
        <v>15</v>
      </c>
      <c r="J48">
        <v>16</v>
      </c>
      <c r="K48">
        <v>29.836099999999998</v>
      </c>
    </row>
    <row r="49" spans="1:11" x14ac:dyDescent="0.3">
      <c r="A49" t="s">
        <v>62</v>
      </c>
      <c r="B49">
        <v>10</v>
      </c>
      <c r="C49">
        <v>0</v>
      </c>
      <c r="D49" s="2" t="s">
        <v>15</v>
      </c>
      <c r="H49" t="s">
        <v>116</v>
      </c>
      <c r="I49">
        <v>14</v>
      </c>
      <c r="J49">
        <v>15</v>
      </c>
      <c r="K49">
        <v>29.836099999999998</v>
      </c>
    </row>
    <row r="50" spans="1:11" x14ac:dyDescent="0.3">
      <c r="A50" t="s">
        <v>63</v>
      </c>
      <c r="B50">
        <v>9</v>
      </c>
      <c r="C50">
        <v>0</v>
      </c>
      <c r="D50" s="2" t="s">
        <v>15</v>
      </c>
      <c r="H50" t="s">
        <v>117</v>
      </c>
      <c r="I50">
        <v>13</v>
      </c>
      <c r="J50">
        <v>14</v>
      </c>
      <c r="K50">
        <v>29.836099999999998</v>
      </c>
    </row>
    <row r="51" spans="1:11" x14ac:dyDescent="0.3">
      <c r="A51" t="s">
        <v>64</v>
      </c>
      <c r="B51">
        <v>8</v>
      </c>
      <c r="C51">
        <v>0</v>
      </c>
      <c r="D51" s="2" t="s">
        <v>15</v>
      </c>
      <c r="H51" t="s">
        <v>118</v>
      </c>
      <c r="I51">
        <v>12</v>
      </c>
      <c r="J51">
        <v>13</v>
      </c>
      <c r="K51">
        <v>29.836099999999998</v>
      </c>
    </row>
    <row r="52" spans="1:11" x14ac:dyDescent="0.3">
      <c r="A52" t="s">
        <v>65</v>
      </c>
      <c r="B52">
        <v>7</v>
      </c>
      <c r="C52">
        <v>0</v>
      </c>
      <c r="D52" s="2" t="s">
        <v>15</v>
      </c>
      <c r="H52" t="s">
        <v>119</v>
      </c>
      <c r="I52">
        <v>11</v>
      </c>
      <c r="J52">
        <v>12</v>
      </c>
      <c r="K52">
        <v>29.836099999999998</v>
      </c>
    </row>
    <row r="53" spans="1:11" x14ac:dyDescent="0.3">
      <c r="A53" t="s">
        <v>66</v>
      </c>
      <c r="B53">
        <v>6</v>
      </c>
      <c r="C53">
        <v>0</v>
      </c>
      <c r="D53" s="2" t="s">
        <v>15</v>
      </c>
      <c r="H53" t="s">
        <v>120</v>
      </c>
      <c r="I53">
        <v>10</v>
      </c>
      <c r="J53">
        <v>11</v>
      </c>
      <c r="K53">
        <v>29.836099999999998</v>
      </c>
    </row>
    <row r="54" spans="1:11" x14ac:dyDescent="0.3">
      <c r="A54" t="s">
        <v>67</v>
      </c>
      <c r="B54">
        <v>5</v>
      </c>
      <c r="C54">
        <v>0</v>
      </c>
      <c r="D54" s="2" t="s">
        <v>15</v>
      </c>
      <c r="H54" t="s">
        <v>121</v>
      </c>
      <c r="I54">
        <v>9</v>
      </c>
      <c r="J54">
        <v>10</v>
      </c>
      <c r="K54">
        <v>29.836099999999998</v>
      </c>
    </row>
    <row r="55" spans="1:11" x14ac:dyDescent="0.3">
      <c r="A55" t="s">
        <v>68</v>
      </c>
      <c r="B55">
        <v>4</v>
      </c>
      <c r="C55">
        <v>0</v>
      </c>
      <c r="D55" s="2" t="s">
        <v>15</v>
      </c>
      <c r="H55" t="s">
        <v>122</v>
      </c>
      <c r="I55">
        <v>8</v>
      </c>
      <c r="J55">
        <v>9</v>
      </c>
      <c r="K55">
        <v>29.836099999999998</v>
      </c>
    </row>
    <row r="56" spans="1:11" x14ac:dyDescent="0.3">
      <c r="D56" s="3">
        <f>0.194318*54</f>
        <v>10.493171999999999</v>
      </c>
      <c r="H56" t="s">
        <v>123</v>
      </c>
      <c r="I56">
        <v>7</v>
      </c>
      <c r="J56">
        <v>8</v>
      </c>
      <c r="K56">
        <v>29.836099999999998</v>
      </c>
    </row>
    <row r="57" spans="1:11" x14ac:dyDescent="0.3">
      <c r="H57" t="s">
        <v>124</v>
      </c>
      <c r="I57">
        <v>6</v>
      </c>
      <c r="J57">
        <v>7</v>
      </c>
      <c r="K57">
        <v>29.836099999999998</v>
      </c>
    </row>
    <row r="58" spans="1:11" x14ac:dyDescent="0.3">
      <c r="H58" t="s">
        <v>125</v>
      </c>
      <c r="I58">
        <v>5</v>
      </c>
      <c r="J58">
        <v>6</v>
      </c>
      <c r="K58">
        <v>29.836099999999998</v>
      </c>
    </row>
    <row r="59" spans="1:11" x14ac:dyDescent="0.3">
      <c r="H59" t="s">
        <v>126</v>
      </c>
      <c r="I59">
        <v>4</v>
      </c>
      <c r="J59">
        <v>54</v>
      </c>
      <c r="K59">
        <v>29.8398</v>
      </c>
    </row>
    <row r="60" spans="1:11" x14ac:dyDescent="0.3">
      <c r="H60" t="s">
        <v>127</v>
      </c>
      <c r="I60">
        <v>2</v>
      </c>
      <c r="J60">
        <v>58</v>
      </c>
      <c r="K60">
        <v>2.2979300000000001E-2</v>
      </c>
    </row>
    <row r="61" spans="1:11" x14ac:dyDescent="0.3">
      <c r="H61" t="s">
        <v>128</v>
      </c>
      <c r="I61">
        <v>2</v>
      </c>
      <c r="J61">
        <v>5</v>
      </c>
      <c r="K61">
        <v>29.836099999999998</v>
      </c>
    </row>
    <row r="116" spans="1:1" x14ac:dyDescent="0.3">
      <c r="A1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 and 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王彥智</cp:lastModifiedBy>
  <dcterms:created xsi:type="dcterms:W3CDTF">2015-06-05T18:17:20Z</dcterms:created>
  <dcterms:modified xsi:type="dcterms:W3CDTF">2023-12-07T00:15:35Z</dcterms:modified>
</cp:coreProperties>
</file>