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D:\workspace\DS-Capstones\"/>
    </mc:Choice>
  </mc:AlternateContent>
  <xr:revisionPtr revIDLastSave="0" documentId="13_ncr:1_{D817DD70-044C-4060-BE46-31D549906EE1}" xr6:coauthVersionLast="46" xr6:coauthVersionMax="46" xr10:uidLastSave="{00000000-0000-0000-0000-000000000000}"/>
  <bookViews>
    <workbookView xWindow="-120" yWindow="-120" windowWidth="29040" windowHeight="15840" firstSheet="1" activeTab="6" xr2:uid="{A7809ED7-5CC4-4593-8A72-A6C2614D8413}"/>
  </bookViews>
  <sheets>
    <sheet name="Product Master" sheetId="1" r:id="rId1"/>
    <sheet name="Stock Inflow" sheetId="2" r:id="rId2"/>
    <sheet name="Stock Outflow" sheetId="3" r:id="rId3"/>
    <sheet name="ref&amp;calc" sheetId="5" r:id="rId4"/>
    <sheet name="Calc&amp;Ref" sheetId="8" state="hidden" r:id="rId5"/>
    <sheet name="Dashboard-bk" sheetId="7" state="hidden" r:id="rId6"/>
    <sheet name="Dashboard" sheetId="4" r:id="rId7"/>
  </sheets>
  <definedNames>
    <definedName name="_xlnm._FilterDatabase" localSheetId="3" hidden="1">'ref&amp;calc'!#REF!</definedName>
    <definedName name="bodysoap">'ref&amp;calc'!$A$8</definedName>
    <definedName name="broom">'ref&amp;calc'!$A$9</definedName>
    <definedName name="bucket">'ref&amp;calc'!$A$10</definedName>
    <definedName name="CATEGORY">'ref&amp;calc'!$A$46</definedName>
    <definedName name="CURRENT">'ref&amp;calc'!$H$35</definedName>
    <definedName name="detergents">'ref&amp;calc'!$A$11</definedName>
    <definedName name="INFLOW">'ref&amp;calc'!$H$46</definedName>
    <definedName name="knife">'ref&amp;calc'!$A$12</definedName>
    <definedName name="KPI_CHART">OFFSET(INDIRECT(Dashboard!$L$16),1,0,10,5)</definedName>
    <definedName name="KPI_chart2">OFFSET(INDIRECT(Dashboard!$F$16),1,0,10,5)</definedName>
    <definedName name="OUTFLOW">'ref&amp;calc'!$H$57</definedName>
    <definedName name="PRODUCT">'ref&amp;calc'!$A$35</definedName>
    <definedName name="rice">'ref&amp;calc'!$A$13</definedName>
    <definedName name="Slicer_Product_Category">#N/A</definedName>
    <definedName name="Slicer_Product_Name">#N/A</definedName>
    <definedName name="stockin">'ref&amp;calc'!$I$19</definedName>
    <definedName name="stockout">'ref&amp;calc'!$J$19</definedName>
    <definedName name="stocksleft">'ref&amp;calc'!$H$19</definedName>
    <definedName name="stocksvalue">'ref&amp;calc'!$G$18</definedName>
    <definedName name="sun">'ref&amp;calc'!$A$14</definedName>
    <definedName name="toothpaste">'ref&amp;calc'!$A$15</definedName>
    <definedName name="vacuum">'ref&amp;calc'!$A$16</definedName>
    <definedName name="wheat">'ref&amp;calc'!$A$17</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5" l="1"/>
  <c r="K16" i="5"/>
  <c r="K15" i="5"/>
  <c r="K14" i="5"/>
  <c r="K13" i="5"/>
  <c r="K12" i="5"/>
  <c r="K11" i="5"/>
  <c r="K10" i="5"/>
  <c r="K9" i="5"/>
  <c r="H8" i="5"/>
  <c r="E9" i="5"/>
  <c r="E10" i="5"/>
  <c r="E11" i="5"/>
  <c r="E12" i="5"/>
  <c r="E13" i="5"/>
  <c r="E14" i="5"/>
  <c r="E15" i="5"/>
  <c r="E16" i="5"/>
  <c r="E17" i="5"/>
  <c r="E8" i="5"/>
  <c r="F8" i="5" s="1"/>
  <c r="J1" i="8"/>
  <c r="E4" i="8"/>
  <c r="G4" i="8"/>
  <c r="H4" i="8" s="1"/>
  <c r="G3" i="8"/>
  <c r="H3" i="8" s="1"/>
  <c r="J4" i="8" s="1"/>
  <c r="J3" i="8" l="1"/>
  <c r="L15" i="5"/>
  <c r="L8" i="5"/>
  <c r="E3" i="5"/>
  <c r="E4" i="5"/>
  <c r="E2" i="5"/>
  <c r="D2" i="5"/>
  <c r="C2" i="5"/>
  <c r="F2" i="5" l="1"/>
  <c r="J17" i="5"/>
  <c r="I17" i="5"/>
  <c r="H17" i="5"/>
  <c r="G17" i="5"/>
  <c r="J16" i="5"/>
  <c r="I16" i="5"/>
  <c r="H16" i="5"/>
  <c r="G16" i="5"/>
  <c r="J15" i="5"/>
  <c r="I15" i="5"/>
  <c r="H15" i="5"/>
  <c r="G15" i="5"/>
  <c r="J14" i="5"/>
  <c r="I14" i="5"/>
  <c r="H14" i="5"/>
  <c r="G14" i="5"/>
  <c r="J13" i="5"/>
  <c r="I13" i="5"/>
  <c r="H13" i="5"/>
  <c r="G13" i="5"/>
  <c r="J12" i="5"/>
  <c r="I12" i="5"/>
  <c r="H12" i="5"/>
  <c r="G12" i="5"/>
  <c r="J11" i="5"/>
  <c r="I11" i="5"/>
  <c r="H11" i="5"/>
  <c r="G11" i="5"/>
  <c r="J10" i="5"/>
  <c r="I10" i="5"/>
  <c r="H10" i="5"/>
  <c r="G10" i="5"/>
  <c r="J9" i="5"/>
  <c r="I9" i="5"/>
  <c r="H9" i="5"/>
  <c r="G9" i="5"/>
  <c r="J8" i="5"/>
  <c r="I8" i="5"/>
  <c r="H4" i="5"/>
  <c r="D4" i="5"/>
  <c r="C4" i="5"/>
  <c r="D3" i="5"/>
  <c r="C3" i="5"/>
  <c r="H2" i="5"/>
  <c r="H21" i="3"/>
  <c r="H20" i="3"/>
  <c r="H19" i="3"/>
  <c r="H18" i="3"/>
  <c r="H17" i="3"/>
  <c r="H16" i="3"/>
  <c r="H15" i="3"/>
  <c r="H14" i="3"/>
  <c r="H13" i="3"/>
  <c r="H12" i="3"/>
  <c r="H11" i="3"/>
  <c r="H10" i="3"/>
  <c r="E25" i="5" s="1"/>
  <c r="H9" i="3"/>
  <c r="E21" i="5" s="1"/>
  <c r="H8" i="3"/>
  <c r="H7" i="3"/>
  <c r="E24" i="5" s="1"/>
  <c r="H6" i="3"/>
  <c r="E26" i="5" s="1"/>
  <c r="H5" i="3"/>
  <c r="H3" i="5" s="1"/>
  <c r="H4" i="3"/>
  <c r="E22" i="5" s="1"/>
  <c r="H3" i="3"/>
  <c r="H2" i="3"/>
  <c r="E30" i="5" s="1"/>
  <c r="H11" i="2"/>
  <c r="D23" i="5" s="1"/>
  <c r="H10" i="2"/>
  <c r="D25" i="5" s="1"/>
  <c r="H9" i="2"/>
  <c r="D21" i="5" s="1"/>
  <c r="H8" i="2"/>
  <c r="D27" i="5" s="1"/>
  <c r="H7" i="2"/>
  <c r="D24" i="5" s="1"/>
  <c r="H6" i="2"/>
  <c r="D26" i="5" s="1"/>
  <c r="H5" i="2"/>
  <c r="D28" i="5" s="1"/>
  <c r="H4" i="2"/>
  <c r="D22" i="5" s="1"/>
  <c r="H3" i="2"/>
  <c r="D29" i="5" s="1"/>
  <c r="H2" i="2"/>
  <c r="D30" i="5" s="1"/>
  <c r="H11" i="1"/>
  <c r="C23" i="5" s="1"/>
  <c r="H10" i="1"/>
  <c r="C25" i="5" s="1"/>
  <c r="H9" i="1"/>
  <c r="C21" i="5" s="1"/>
  <c r="H8" i="1"/>
  <c r="H7" i="1"/>
  <c r="C24" i="5" s="1"/>
  <c r="H6" i="1"/>
  <c r="C26" i="5" s="1"/>
  <c r="H5" i="1"/>
  <c r="C28" i="5" s="1"/>
  <c r="H4" i="1"/>
  <c r="C22" i="5" s="1"/>
  <c r="H3" i="1"/>
  <c r="C29" i="5" s="1"/>
  <c r="H2" i="1"/>
  <c r="E27" i="5" l="1"/>
  <c r="K8" i="5"/>
  <c r="K18" i="5" s="1"/>
  <c r="C5" i="5"/>
  <c r="H5" i="5"/>
  <c r="G3" i="5"/>
  <c r="E29" i="5"/>
  <c r="E23" i="5"/>
  <c r="G8" i="5"/>
  <c r="G18" i="5" s="1"/>
  <c r="C27" i="5"/>
  <c r="E28" i="5"/>
  <c r="J2" i="8"/>
  <c r="C30" i="5"/>
  <c r="G2" i="5"/>
  <c r="I2" i="5" s="1"/>
  <c r="G4" i="5"/>
  <c r="I4" i="5" s="1"/>
  <c r="F3" i="5"/>
  <c r="F4" i="5"/>
  <c r="I3" i="5"/>
  <c r="D5" i="5"/>
  <c r="J18" i="5"/>
  <c r="J19" i="5" s="1"/>
  <c r="M8" i="5"/>
  <c r="L21" i="5" s="1"/>
  <c r="I18" i="5"/>
  <c r="I19" i="5" s="1"/>
  <c r="H18" i="5"/>
  <c r="H19" i="5" s="1"/>
  <c r="G5" i="5" l="1"/>
  <c r="I5" i="5" s="1"/>
  <c r="E5" i="5"/>
</calcChain>
</file>

<file path=xl/sharedStrings.xml><?xml version="1.0" encoding="utf-8"?>
<sst xmlns="http://schemas.openxmlformats.org/spreadsheetml/2006/main" count="276" uniqueCount="89">
  <si>
    <t>S No.</t>
  </si>
  <si>
    <t>Product ID</t>
  </si>
  <si>
    <t>Product Name</t>
  </si>
  <si>
    <t>Product Category</t>
  </si>
  <si>
    <t>Unit Price</t>
  </si>
  <si>
    <t>Ideal Stock</t>
  </si>
  <si>
    <t>Available Stock</t>
  </si>
  <si>
    <t>Available Stock Value</t>
  </si>
  <si>
    <t>Prd001</t>
  </si>
  <si>
    <t>Detergents</t>
  </si>
  <si>
    <t>Prd002</t>
  </si>
  <si>
    <t>Tooth Paste</t>
  </si>
  <si>
    <t>Prd003</t>
  </si>
  <si>
    <t>Sun Flower Oil</t>
  </si>
  <si>
    <t>Kitchen Items</t>
  </si>
  <si>
    <t>Prd004</t>
  </si>
  <si>
    <t>Broom</t>
  </si>
  <si>
    <t>Home Care</t>
  </si>
  <si>
    <t>Prd005</t>
  </si>
  <si>
    <t>Bucket</t>
  </si>
  <si>
    <t>Prd006</t>
  </si>
  <si>
    <t>Prd007</t>
  </si>
  <si>
    <t>Knife</t>
  </si>
  <si>
    <t>Prd008</t>
  </si>
  <si>
    <t>Body Soap</t>
  </si>
  <si>
    <t>Prd009</t>
  </si>
  <si>
    <t>Prd010</t>
  </si>
  <si>
    <t>Rice</t>
  </si>
  <si>
    <t>Date</t>
  </si>
  <si>
    <t>Units Received</t>
  </si>
  <si>
    <t>Total Value</t>
  </si>
  <si>
    <t>Units Sold</t>
  </si>
  <si>
    <t>stock outflow</t>
  </si>
  <si>
    <t>stock inflow</t>
  </si>
  <si>
    <t>total</t>
  </si>
  <si>
    <t>stock left</t>
  </si>
  <si>
    <t>Row Labels</t>
  </si>
  <si>
    <t>Ideal Stocks</t>
  </si>
  <si>
    <t>Current Stocks</t>
  </si>
  <si>
    <t>Wheat Powder</t>
  </si>
  <si>
    <t>Toiletries</t>
  </si>
  <si>
    <t>Vacuum Cleaner</t>
  </si>
  <si>
    <t>All</t>
  </si>
  <si>
    <t>Product Outflow-Inflow Ratio</t>
  </si>
  <si>
    <t>Product Category Outflow-Inflow Ratio</t>
  </si>
  <si>
    <t>Product</t>
  </si>
  <si>
    <t>CATEGORY</t>
  </si>
  <si>
    <t>PRODUCT</t>
  </si>
  <si>
    <t xml:space="preserve"> is less than the ideal stock. Please restock.</t>
  </si>
  <si>
    <t xml:space="preserve">The current stock of </t>
  </si>
  <si>
    <t xml:space="preserve"> is at desired level.</t>
  </si>
  <si>
    <t>stock value</t>
  </si>
  <si>
    <t>Month</t>
  </si>
  <si>
    <t>Year</t>
  </si>
  <si>
    <t>January</t>
  </si>
  <si>
    <t>February</t>
  </si>
  <si>
    <t>March</t>
  </si>
  <si>
    <t>April</t>
  </si>
  <si>
    <t>May</t>
  </si>
  <si>
    <t>June</t>
  </si>
  <si>
    <t>July</t>
  </si>
  <si>
    <t>August</t>
  </si>
  <si>
    <t>September</t>
  </si>
  <si>
    <t>October</t>
  </si>
  <si>
    <t>November</t>
  </si>
  <si>
    <t>December</t>
  </si>
  <si>
    <t>Stock In</t>
  </si>
  <si>
    <t>Stock Out</t>
  </si>
  <si>
    <t>Chosen Date</t>
  </si>
  <si>
    <t xml:space="preserve"> </t>
  </si>
  <si>
    <t>Current Stocks Value</t>
  </si>
  <si>
    <t>Last D</t>
  </si>
  <si>
    <t>First D</t>
  </si>
  <si>
    <t>01</t>
  </si>
  <si>
    <t>02</t>
  </si>
  <si>
    <t>03</t>
  </si>
  <si>
    <t>04</t>
  </si>
  <si>
    <t>05</t>
  </si>
  <si>
    <t>06</t>
  </si>
  <si>
    <t>07</t>
  </si>
  <si>
    <t>08</t>
  </si>
  <si>
    <t>09</t>
  </si>
  <si>
    <t>Index</t>
  </si>
  <si>
    <t>OUTFLOW</t>
  </si>
  <si>
    <t>INFLOW</t>
  </si>
  <si>
    <t>CURRENT</t>
  </si>
  <si>
    <t>current</t>
  </si>
  <si>
    <t>in</t>
  </si>
  <si>
    <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</si>
</sst>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_);_(&quot;$&quot;* \(#,##0\);_(&quot;$&quot;* &quot;-&quot;_);_(@_)"/>
    <numFmt numFmtId="165" formatCode="_(&quot;$&quot;* #,##0.00_);_(&quot;$&quot;* \(#,##0.00\);_(&quot;$&quot;* &quot;-&quot;??_);_(@_)"/>
    <numFmt numFmtId="166" formatCode="_(* #,##0.00_);_(* \(#,##0.00\);_(* &quot;-&quot;??_);_(@_)"/>
    <numFmt numFmtId="167" formatCode="_(* #,##0_);_(* \(#,##0\);_(* &quot;-&quot;??_);_(@_)"/>
    <numFmt numFmtId="168" formatCode="dd\-mmm\-yyyy"/>
    <numFmt numFmtId="169" formatCode="dd\-mm\-yyyy"/>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0"/>
      <color theme="1"/>
      <name val="Verdana"/>
      <family val="2"/>
    </font>
    <font>
      <b/>
      <sz val="11"/>
      <color theme="1"/>
      <name val="Calibri"/>
      <family val="2"/>
      <scheme val="minor"/>
    </font>
    <font>
      <sz val="11"/>
      <name val="Calibri"/>
      <family val="2"/>
      <scheme val="minor"/>
    </font>
    <font>
      <sz val="8"/>
      <name val="Calibri"/>
      <family val="2"/>
      <scheme val="minor"/>
    </font>
    <font>
      <sz val="11"/>
      <color theme="1"/>
      <name val="Calibri"/>
      <family val="2"/>
      <scheme val="minor"/>
    </font>
    <font>
      <b/>
      <sz val="12"/>
      <color theme="4" tint="-0.249977111117893"/>
      <name val="Calibri"/>
      <family val="2"/>
      <scheme val="minor"/>
    </font>
    <font>
      <b/>
      <sz val="14"/>
      <color theme="3"/>
      <name val="Calibri"/>
      <family val="2"/>
      <scheme val="minor"/>
    </font>
    <font>
      <sz val="14"/>
      <color rgb="FF2C2C2D"/>
      <name val="Times New Roman"/>
      <family val="1"/>
    </font>
    <font>
      <sz val="14"/>
      <color rgb="FFFBDE2D"/>
      <name val="Courier New"/>
      <family val="3"/>
    </font>
    <font>
      <sz val="12"/>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166" fontId="1" fillId="0" borderId="0" applyFont="0" applyFill="0" applyBorder="0" applyAlignment="0" applyProtection="0"/>
    <xf numFmtId="165" fontId="1" fillId="0" borderId="0" applyFont="0" applyFill="0" applyBorder="0" applyAlignment="0" applyProtection="0"/>
  </cellStyleXfs>
  <cellXfs count="71">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164" fontId="2" fillId="2" borderId="2" xfId="0" applyNumberFormat="1"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4" xfId="0" applyBorder="1" applyAlignment="1">
      <alignment horizontal="center"/>
    </xf>
    <xf numFmtId="0" fontId="0" fillId="0" borderId="3" xfId="0" applyBorder="1" applyAlignment="1">
      <alignment horizontal="center"/>
    </xf>
    <xf numFmtId="0" fontId="0" fillId="0" borderId="3" xfId="1" applyNumberFormat="1"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6" xfId="1" applyNumberFormat="1" applyFont="1" applyBorder="1" applyAlignment="1">
      <alignment horizontal="center" vertical="center"/>
    </xf>
    <xf numFmtId="168" fontId="0" fillId="0" borderId="0" xfId="0" applyNumberFormat="1"/>
    <xf numFmtId="0" fontId="0" fillId="0" borderId="4" xfId="0" applyBorder="1" applyAlignment="1">
      <alignment horizontal="center" vertical="center"/>
    </xf>
    <xf numFmtId="169" fontId="3" fillId="0" borderId="4" xfId="0" applyNumberFormat="1" applyFont="1" applyBorder="1" applyAlignment="1">
      <alignment horizontal="center" vertical="center"/>
    </xf>
    <xf numFmtId="0" fontId="0" fillId="0" borderId="3" xfId="0" applyBorder="1" applyAlignment="1">
      <alignment horizontal="center" vertical="center"/>
    </xf>
    <xf numFmtId="167" fontId="0" fillId="0" borderId="3" xfId="1" applyNumberFormat="1" applyFont="1" applyBorder="1" applyAlignment="1">
      <alignment horizontal="center" vertical="center"/>
    </xf>
    <xf numFmtId="0" fontId="0" fillId="0" borderId="0" xfId="0" applyAlignment="1">
      <alignment horizontal="center"/>
    </xf>
    <xf numFmtId="0" fontId="0" fillId="0" borderId="5" xfId="0" applyBorder="1" applyAlignment="1">
      <alignment horizontal="center" vertical="center"/>
    </xf>
    <xf numFmtId="169" fontId="3" fillId="0" borderId="5" xfId="0" applyNumberFormat="1" applyFont="1" applyBorder="1" applyAlignment="1">
      <alignment horizontal="center" vertical="center"/>
    </xf>
    <xf numFmtId="0" fontId="0" fillId="0" borderId="6" xfId="0" applyBorder="1" applyAlignment="1">
      <alignment horizontal="center" vertical="center"/>
    </xf>
    <xf numFmtId="169" fontId="0" fillId="0" borderId="4" xfId="0" applyNumberFormat="1" applyBorder="1" applyAlignment="1">
      <alignment horizontal="center" vertical="center"/>
    </xf>
    <xf numFmtId="167" fontId="0" fillId="0" borderId="6" xfId="1" applyNumberFormat="1" applyFont="1" applyBorder="1" applyAlignment="1">
      <alignment horizontal="center" vertical="center"/>
    </xf>
    <xf numFmtId="169" fontId="0" fillId="0" borderId="5" xfId="0" applyNumberFormat="1" applyBorder="1" applyAlignment="1">
      <alignment horizontal="center" vertical="center"/>
    </xf>
    <xf numFmtId="0" fontId="0" fillId="3" borderId="0" xfId="0" applyFill="1"/>
    <xf numFmtId="0" fontId="0" fillId="0" borderId="0" xfId="0" applyAlignment="1">
      <alignment horizontal="left"/>
    </xf>
    <xf numFmtId="0" fontId="0" fillId="0" borderId="0" xfId="0" applyBorder="1" applyAlignment="1">
      <alignment horizontal="left"/>
    </xf>
    <xf numFmtId="167" fontId="0" fillId="0" borderId="0" xfId="0" applyNumberFormat="1"/>
    <xf numFmtId="166" fontId="0" fillId="0" borderId="0" xfId="1" applyFont="1"/>
    <xf numFmtId="166" fontId="0" fillId="0" borderId="0" xfId="1" applyFont="1" applyAlignment="1">
      <alignment horizontal="right"/>
    </xf>
    <xf numFmtId="165" fontId="0" fillId="0" borderId="3" xfId="2" applyFont="1" applyBorder="1" applyAlignment="1">
      <alignment horizontal="center" vertical="center"/>
    </xf>
    <xf numFmtId="165" fontId="0" fillId="0" borderId="6" xfId="2" applyFont="1" applyBorder="1" applyAlignment="1">
      <alignment horizontal="center" vertical="center"/>
    </xf>
    <xf numFmtId="165" fontId="0" fillId="0" borderId="4" xfId="2" applyFont="1" applyBorder="1" applyAlignment="1">
      <alignment horizontal="center"/>
    </xf>
    <xf numFmtId="167" fontId="0" fillId="0" borderId="0" xfId="1" applyNumberFormat="1" applyFont="1" applyAlignment="1">
      <alignment horizontal="right"/>
    </xf>
    <xf numFmtId="165" fontId="0" fillId="0" borderId="0" xfId="2" applyFont="1" applyAlignment="1">
      <alignment horizontal="right"/>
    </xf>
    <xf numFmtId="165" fontId="0" fillId="0" borderId="0" xfId="2" applyFont="1"/>
    <xf numFmtId="167" fontId="0" fillId="0" borderId="0" xfId="2" applyNumberFormat="1" applyFont="1"/>
    <xf numFmtId="167" fontId="0" fillId="0" borderId="3" xfId="1" applyNumberFormat="1" applyFont="1" applyBorder="1" applyAlignment="1">
      <alignment horizontal="right" vertical="center"/>
    </xf>
    <xf numFmtId="0" fontId="4" fillId="3" borderId="0" xfId="0" applyFont="1" applyFill="1"/>
    <xf numFmtId="0" fontId="5" fillId="3" borderId="0" xfId="0" applyFont="1" applyFill="1"/>
    <xf numFmtId="0" fontId="0" fillId="3" borderId="0" xfId="0" applyFill="1" applyBorder="1"/>
    <xf numFmtId="0" fontId="5" fillId="3" borderId="0" xfId="0" applyFont="1" applyFill="1" applyBorder="1"/>
    <xf numFmtId="0" fontId="0" fillId="0" borderId="0" xfId="0" pivotButton="1"/>
    <xf numFmtId="0" fontId="0" fillId="0" borderId="0" xfId="0" applyNumberFormat="1"/>
    <xf numFmtId="165" fontId="0" fillId="0" borderId="0" xfId="0" applyNumberFormat="1"/>
    <xf numFmtId="165" fontId="7" fillId="0" borderId="3" xfId="2" applyFont="1" applyFill="1" applyBorder="1" applyAlignment="1">
      <alignment horizontal="center" vertical="center"/>
    </xf>
    <xf numFmtId="167" fontId="0" fillId="0" borderId="0" xfId="2" applyNumberFormat="1" applyFont="1" applyAlignment="1">
      <alignment horizontal="right"/>
    </xf>
    <xf numFmtId="2" fontId="0" fillId="0" borderId="0" xfId="0" applyNumberFormat="1" applyAlignment="1">
      <alignment horizontal="right"/>
    </xf>
    <xf numFmtId="2" fontId="0" fillId="0" borderId="0" xfId="0" applyNumberFormat="1" applyAlignment="1">
      <alignment horizontal="left"/>
    </xf>
    <xf numFmtId="2" fontId="0" fillId="0" borderId="0" xfId="0" applyNumberFormat="1"/>
    <xf numFmtId="0" fontId="4" fillId="3" borderId="0" xfId="0" applyFont="1" applyFill="1" applyAlignment="1">
      <alignment vertical="top"/>
    </xf>
    <xf numFmtId="0" fontId="0" fillId="0" borderId="0" xfId="1" applyNumberFormat="1" applyFont="1"/>
    <xf numFmtId="0" fontId="0" fillId="0" borderId="0" xfId="0" applyAlignment="1">
      <alignment horizontal="right"/>
    </xf>
    <xf numFmtId="165" fontId="0" fillId="0" borderId="0" xfId="0" applyNumberFormat="1" applyAlignment="1">
      <alignment horizontal="right"/>
    </xf>
    <xf numFmtId="14" fontId="0" fillId="0" borderId="0" xfId="0" applyNumberFormat="1"/>
    <xf numFmtId="0" fontId="10" fillId="0" borderId="0" xfId="0" applyFont="1"/>
    <xf numFmtId="14" fontId="11" fillId="0" borderId="0" xfId="0" applyNumberFormat="1" applyFont="1" applyAlignment="1">
      <alignment vertical="center"/>
    </xf>
    <xf numFmtId="3" fontId="0" fillId="0" borderId="0" xfId="0" applyNumberFormat="1"/>
    <xf numFmtId="3" fontId="0" fillId="0" borderId="0" xfId="0" quotePrefix="1" applyNumberFormat="1" applyAlignment="1">
      <alignment horizontal="right"/>
    </xf>
    <xf numFmtId="3" fontId="0" fillId="0" borderId="0" xfId="0" applyNumberFormat="1" applyAlignment="1">
      <alignment horizontal="right"/>
    </xf>
    <xf numFmtId="14" fontId="0" fillId="0" borderId="0" xfId="0" applyNumberFormat="1" applyAlignment="1">
      <alignment horizontal="right"/>
    </xf>
    <xf numFmtId="0" fontId="8" fillId="3" borderId="0" xfId="0" applyFont="1" applyFill="1" applyAlignment="1">
      <alignment horizontal="left"/>
    </xf>
    <xf numFmtId="0" fontId="8" fillId="3" borderId="0" xfId="0" applyFont="1" applyFill="1"/>
    <xf numFmtId="0" fontId="12" fillId="3" borderId="0" xfId="0" applyFont="1" applyFill="1"/>
    <xf numFmtId="0" fontId="12" fillId="3" borderId="0" xfId="0" applyFont="1" applyFill="1" applyAlignment="1">
      <alignment horizontal="left"/>
    </xf>
    <xf numFmtId="0" fontId="13" fillId="3" borderId="0" xfId="0" applyFont="1" applyFill="1" applyAlignment="1">
      <alignment horizontal="left"/>
    </xf>
    <xf numFmtId="166" fontId="0" fillId="0" borderId="0" xfId="1" applyFont="1" applyAlignment="1">
      <alignment horizontal="left" vertical="top"/>
    </xf>
    <xf numFmtId="0" fontId="4" fillId="3" borderId="0" xfId="0" applyFont="1" applyFill="1" applyAlignment="1">
      <alignment horizontal="left" wrapText="1"/>
    </xf>
    <xf numFmtId="0" fontId="12" fillId="3" borderId="0" xfId="0" applyFont="1" applyFill="1" applyAlignment="1">
      <alignment horizontal="left"/>
    </xf>
    <xf numFmtId="0" fontId="9" fillId="3" borderId="0" xfId="0" applyFont="1" applyFill="1" applyAlignment="1">
      <alignment horizontal="left" vertical="top"/>
    </xf>
  </cellXfs>
  <cellStyles count="3">
    <cellStyle name="Comma" xfId="1" builtinId="3"/>
    <cellStyle name="Currency" xfId="2" builtinId="4"/>
    <cellStyle name="Normal" xfId="0" builtinId="0"/>
  </cellStyles>
  <dxfs count="40">
    <dxf>
      <font>
        <color rgb="FF9C0006"/>
      </font>
      <fill>
        <patternFill>
          <bgColor rgb="FFFFC7CE"/>
        </patternFill>
      </fill>
    </dxf>
    <dxf>
      <font>
        <strike val="0"/>
        <outline val="0"/>
        <shadow val="0"/>
        <u val="none"/>
        <vertAlign val="baseline"/>
        <sz val="11"/>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9" formatCode="dd\-mm\-yy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rgb="FF000000"/>
        <name val="Calibri"/>
        <scheme val="minor"/>
      </font>
      <fill>
        <patternFill patternType="none">
          <fgColor rgb="FF000000"/>
          <bgColor auto="1"/>
        </patternFill>
      </fill>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scheme val="minor"/>
      </font>
      <numFmt numFmtId="167" formatCode="_(* #,##0_);_(* \(#,##0\);_(* &quot;-&quot;??_);_(@_)"/>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Verdana"/>
        <family val="2"/>
        <scheme val="none"/>
      </font>
      <numFmt numFmtId="169" formatCode="dd\-mm\-yyyy"/>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rgb="FF000000"/>
        <name val="Calibri"/>
        <scheme val="minor"/>
      </font>
      <fill>
        <patternFill patternType="none">
          <fgColor rgb="FF000000"/>
          <bgColor auto="1"/>
        </patternFill>
      </fill>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left style="thin">
          <color indexed="64"/>
        </left>
      </border>
    </dxf>
    <dxf>
      <font>
        <strike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fill>
        <patternFill patternType="none">
          <fgColor indexed="64"/>
          <bgColor auto="1"/>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Calibri"/>
        <scheme val="minor"/>
      </font>
      <fill>
        <patternFill patternType="solid">
          <fgColor indexed="64"/>
          <bgColor rgb="FF00B05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0"/>
    <c:plotArea>
      <c:layout/>
      <c:pieChart>
        <c:varyColors val="1"/>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Stocks</a:t>
            </a:r>
            <a:r>
              <a:rPr lang="en-US" baseline="0"/>
              <a:t> Value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2"/>
          <c:order val="0"/>
          <c:tx>
            <c:v>Stocks Value</c:v>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B511-42D3-9B82-957E7B0AC2AB}"/>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511-42D3-9B82-957E7B0AC2AB}"/>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B511-42D3-9B82-957E7B0AC2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'ref&amp;calc'!$B$2:$B$4</c:f>
              <c:strCache>
                <c:ptCount val="3"/>
                <c:pt idx="0">
                  <c:v>Toiletries</c:v>
                </c:pt>
                <c:pt idx="1">
                  <c:v>Home Care</c:v>
                </c:pt>
                <c:pt idx="2">
                  <c:v>Kitchen Items</c:v>
                </c:pt>
              </c:strCache>
            </c:strRef>
          </c:cat>
          <c:val>
            <c:numRef>
              <c:f>'ref&amp;calc'!$I$2:$I$4</c:f>
              <c:numCache>
                <c:formatCode>_("$"* #,##0.00_);_("$"* \(#,##0.00\);_("$"* "-"??_);_(@_)</c:formatCode>
                <c:ptCount val="3"/>
                <c:pt idx="0">
                  <c:v>6430</c:v>
                </c:pt>
                <c:pt idx="1">
                  <c:v>21875</c:v>
                </c:pt>
                <c:pt idx="2">
                  <c:v>5165</c:v>
                </c:pt>
              </c:numCache>
            </c:numRef>
          </c:val>
          <c:extLst>
            <c:ext xmlns:c16="http://schemas.microsoft.com/office/drawing/2014/chart" uri="{C3380CC4-5D6E-409C-BE32-E72D297353CC}">
              <c16:uniqueId val="{00000006-B511-42D3-9B82-957E7B0AC2AB}"/>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a:t>
            </a:r>
            <a:r>
              <a:rPr lang="en-US" baseline="0"/>
              <a:t> Out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v>Stocks Out</c:v>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DC27-4020-A2D0-435EF672401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DC27-4020-A2D0-435EF672401A}"/>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DC27-4020-A2D0-435EF672401A}"/>
              </c:ext>
            </c:extLst>
          </c:dPt>
          <c:dLbls>
            <c:dLbl>
              <c:idx val="2"/>
              <c:layout>
                <c:manualLayout>
                  <c:x val="-1.5054545794922788E-2"/>
                  <c:y val="1.85904751036555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C27-4020-A2D0-435EF67240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'ref&amp;calc'!$B$2:$B$4</c:f>
              <c:strCache>
                <c:ptCount val="3"/>
                <c:pt idx="0">
                  <c:v>Toiletries</c:v>
                </c:pt>
                <c:pt idx="1">
                  <c:v>Home Care</c:v>
                </c:pt>
                <c:pt idx="2">
                  <c:v>Kitchen Items</c:v>
                </c:pt>
              </c:strCache>
            </c:strRef>
          </c:cat>
          <c:val>
            <c:numRef>
              <c:f>'ref&amp;calc'!$D$2:$D$4</c:f>
              <c:numCache>
                <c:formatCode>_(* #,##0_);_(* \(#,##0\);_(* "-"??_);_(@_)</c:formatCode>
                <c:ptCount val="3"/>
                <c:pt idx="0">
                  <c:v>634</c:v>
                </c:pt>
                <c:pt idx="1">
                  <c:v>71</c:v>
                </c:pt>
                <c:pt idx="2">
                  <c:v>188</c:v>
                </c:pt>
              </c:numCache>
            </c:numRef>
          </c:val>
          <c:extLst>
            <c:ext xmlns:c16="http://schemas.microsoft.com/office/drawing/2014/chart" uri="{C3380CC4-5D6E-409C-BE32-E72D297353CC}">
              <c16:uniqueId val="{00000006-DC27-4020-A2D0-435EF672401A}"/>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a:t>
            </a:r>
            <a:r>
              <a:rPr lang="en-US" baseline="0"/>
              <a:t> In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v>Stocks In</c:v>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5FF2-448E-AE5C-002253BC0111}"/>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5FF2-448E-AE5C-002253BC0111}"/>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5FF2-448E-AE5C-002253BC01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'ref&amp;calc'!$B$2:$B$4</c:f>
              <c:strCache>
                <c:ptCount val="3"/>
                <c:pt idx="0">
                  <c:v>Toiletries</c:v>
                </c:pt>
                <c:pt idx="1">
                  <c:v>Home Care</c:v>
                </c:pt>
                <c:pt idx="2">
                  <c:v>Kitchen Items</c:v>
                </c:pt>
              </c:strCache>
            </c:strRef>
          </c:cat>
          <c:val>
            <c:numRef>
              <c:f>'ref&amp;calc'!$C$2:$C$4</c:f>
              <c:numCache>
                <c:formatCode>_(* #,##0_);_(* \(#,##0\);_(* "-"??_);_(@_)</c:formatCode>
                <c:ptCount val="3"/>
                <c:pt idx="0">
                  <c:v>800</c:v>
                </c:pt>
                <c:pt idx="1">
                  <c:v>85</c:v>
                </c:pt>
                <c:pt idx="2">
                  <c:v>260</c:v>
                </c:pt>
              </c:numCache>
            </c:numRef>
          </c:val>
          <c:extLst>
            <c:ext xmlns:c16="http://schemas.microsoft.com/office/drawing/2014/chart" uri="{C3380CC4-5D6E-409C-BE32-E72D297353CC}">
              <c16:uniqueId val="{00000006-5FF2-448E-AE5C-002253BC0111}"/>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 PastorilTK.xlsx]ref&amp;calc!PivotTable1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effectLst/>
                <a:latin typeface="+mj-lt"/>
              </a:rPr>
              <a:t>Product-Wise Current Stock vs Ideal Stock</a:t>
            </a:r>
            <a:endParaRPr lang="en-US" sz="1200">
              <a:effectLst/>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'ref&amp;calc'!$B$7</c:f>
              <c:strCache>
                <c:ptCount val="1"/>
                <c:pt idx="0">
                  <c:v>Ideal Stocks</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'ref&amp;calc'!$A$8:$A$17</c:f>
              <c:strCache>
                <c:ptCount val="10"/>
                <c:pt idx="0">
                  <c:v>Body Soap</c:v>
                </c:pt>
                <c:pt idx="1">
                  <c:v>Broom</c:v>
                </c:pt>
                <c:pt idx="2">
                  <c:v>Bucket</c:v>
                </c:pt>
                <c:pt idx="3">
                  <c:v>Detergents</c:v>
                </c:pt>
                <c:pt idx="4">
                  <c:v>Knife</c:v>
                </c:pt>
                <c:pt idx="5">
                  <c:v>Rice</c:v>
                </c:pt>
                <c:pt idx="6">
                  <c:v>Sun Flower Oil</c:v>
                </c:pt>
                <c:pt idx="7">
                  <c:v>Tooth Paste</c:v>
                </c:pt>
                <c:pt idx="8">
                  <c:v>Vacuum Cleaner</c:v>
                </c:pt>
                <c:pt idx="9">
                  <c:v>Wheat Powder</c:v>
                </c:pt>
              </c:strCache>
            </c:strRef>
          </c:cat>
          <c:val>
            <c:numRef>
              <c:f>'ref&amp;calc'!$B$8:$B$17</c:f>
              <c:numCache>
                <c:formatCode>General</c:formatCode>
                <c:ptCount val="10"/>
                <c:pt idx="0">
                  <c:v>250</c:v>
                </c:pt>
                <c:pt idx="1">
                  <c:v>50</c:v>
                </c:pt>
                <c:pt idx="2">
                  <c:v>25</c:v>
                </c:pt>
                <c:pt idx="3">
                  <c:v>250</c:v>
                </c:pt>
                <c:pt idx="4">
                  <c:v>150</c:v>
                </c:pt>
                <c:pt idx="5">
                  <c:v>25</c:v>
                </c:pt>
                <c:pt idx="6">
                  <c:v>50</c:v>
                </c:pt>
                <c:pt idx="7">
                  <c:v>300</c:v>
                </c:pt>
                <c:pt idx="8">
                  <c:v>10</c:v>
                </c:pt>
                <c:pt idx="9">
                  <c:v>35</c:v>
                </c:pt>
              </c:numCache>
            </c:numRef>
          </c:val>
          <c:extLst>
            <c:ext xmlns:c16="http://schemas.microsoft.com/office/drawing/2014/chart" uri="{C3380CC4-5D6E-409C-BE32-E72D297353CC}">
              <c16:uniqueId val="{00000001-F4E5-41A3-B4AA-CE46DD7BC64F}"/>
            </c:ext>
          </c:extLst>
        </c:ser>
        <c:ser>
          <c:idx val="1"/>
          <c:order val="1"/>
          <c:tx>
            <c:strRef>
              <c:f>'ref&amp;calc'!$C$7</c:f>
              <c:strCache>
                <c:ptCount val="1"/>
                <c:pt idx="0">
                  <c:v>Current Stocks</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'ref&amp;calc'!$A$8:$A$17</c:f>
              <c:strCache>
                <c:ptCount val="10"/>
                <c:pt idx="0">
                  <c:v>Body Soap</c:v>
                </c:pt>
                <c:pt idx="1">
                  <c:v>Broom</c:v>
                </c:pt>
                <c:pt idx="2">
                  <c:v>Bucket</c:v>
                </c:pt>
                <c:pt idx="3">
                  <c:v>Detergents</c:v>
                </c:pt>
                <c:pt idx="4">
                  <c:v>Knife</c:v>
                </c:pt>
                <c:pt idx="5">
                  <c:v>Rice</c:v>
                </c:pt>
                <c:pt idx="6">
                  <c:v>Sun Flower Oil</c:v>
                </c:pt>
                <c:pt idx="7">
                  <c:v>Tooth Paste</c:v>
                </c:pt>
                <c:pt idx="8">
                  <c:v>Vacuum Cleaner</c:v>
                </c:pt>
                <c:pt idx="9">
                  <c:v>Wheat Powder</c:v>
                </c:pt>
              </c:strCache>
            </c:strRef>
          </c:cat>
          <c:val>
            <c:numRef>
              <c:f>'ref&amp;calc'!$C$8:$C$17</c:f>
              <c:numCache>
                <c:formatCode>General</c:formatCode>
                <c:ptCount val="10"/>
                <c:pt idx="0">
                  <c:v>156</c:v>
                </c:pt>
                <c:pt idx="1">
                  <c:v>3</c:v>
                </c:pt>
                <c:pt idx="2">
                  <c:v>7</c:v>
                </c:pt>
                <c:pt idx="3">
                  <c:v>4</c:v>
                </c:pt>
                <c:pt idx="4">
                  <c:v>19</c:v>
                </c:pt>
                <c:pt idx="5">
                  <c:v>12</c:v>
                </c:pt>
                <c:pt idx="6">
                  <c:v>29</c:v>
                </c:pt>
                <c:pt idx="7">
                  <c:v>6</c:v>
                </c:pt>
                <c:pt idx="8">
                  <c:v>4</c:v>
                </c:pt>
                <c:pt idx="9">
                  <c:v>12</c:v>
                </c:pt>
              </c:numCache>
            </c:numRef>
          </c:val>
          <c:extLst>
            <c:ext xmlns:c16="http://schemas.microsoft.com/office/drawing/2014/chart" uri="{C3380CC4-5D6E-409C-BE32-E72D297353CC}">
              <c16:uniqueId val="{00000002-F4E5-41A3-B4AA-CE46DD7BC64F}"/>
            </c:ext>
          </c:extLst>
        </c:ser>
        <c:dLbls>
          <c:dLblPos val="outEnd"/>
          <c:showLegendKey val="0"/>
          <c:showVal val="1"/>
          <c:showCatName val="0"/>
          <c:showSerName val="0"/>
          <c:showPercent val="0"/>
          <c:showBubbleSize val="0"/>
        </c:dLbls>
        <c:gapWidth val="75"/>
        <c:overlap val="40"/>
        <c:axId val="150229520"/>
        <c:axId val="2109970752"/>
      </c:barChart>
      <c:catAx>
        <c:axId val="15022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970752"/>
        <c:crosses val="autoZero"/>
        <c:auto val="1"/>
        <c:lblAlgn val="ctr"/>
        <c:lblOffset val="100"/>
        <c:noMultiLvlLbl val="0"/>
      </c:catAx>
      <c:valAx>
        <c:axId val="2109970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5">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Stocks</a:t>
            </a:r>
            <a:r>
              <a:rPr lang="en-US" baseline="0"/>
              <a:t> Value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Stock</a:t>
            </a:r>
            <a:r>
              <a:rPr lang="en-US" baseline="0"/>
              <a:t> Out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Outflow-Inflow Ratio</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pattFill prst="ltUpDiag">
              <a:fgClr>
                <a:schemeClr val="accent1"/>
              </a:fgClr>
              <a:bgClr>
                <a:schemeClr val="lt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'ref&amp;calc'!$A$21:$A$30</c:f>
              <c:strCache>
                <c:ptCount val="10"/>
                <c:pt idx="0">
                  <c:v>Body Soap</c:v>
                </c:pt>
                <c:pt idx="1">
                  <c:v>Sun Flower Oil</c:v>
                </c:pt>
                <c:pt idx="2">
                  <c:v>Rice</c:v>
                </c:pt>
                <c:pt idx="3">
                  <c:v>Vacuum Cleaner</c:v>
                </c:pt>
                <c:pt idx="4">
                  <c:v>Wheat Powder</c:v>
                </c:pt>
                <c:pt idx="5">
                  <c:v>Bucket</c:v>
                </c:pt>
                <c:pt idx="6">
                  <c:v>Knife</c:v>
                </c:pt>
                <c:pt idx="7">
                  <c:v>Broom</c:v>
                </c:pt>
                <c:pt idx="8">
                  <c:v>Tooth Paste</c:v>
                </c:pt>
                <c:pt idx="9">
                  <c:v>Detergents</c:v>
                </c:pt>
              </c:strCache>
            </c:strRef>
          </c:cat>
          <c:val>
            <c:numRef>
              <c:f>'ref&amp;calc'!$B$21:$B$30</c:f>
              <c:numCache>
                <c:formatCode>0.00</c:formatCode>
                <c:ptCount val="10"/>
                <c:pt idx="0">
                  <c:v>0.376</c:v>
                </c:pt>
                <c:pt idx="1">
                  <c:v>0.42</c:v>
                </c:pt>
                <c:pt idx="2">
                  <c:v>0.52</c:v>
                </c:pt>
                <c:pt idx="3">
                  <c:v>0.6</c:v>
                </c:pt>
                <c:pt idx="4">
                  <c:v>0.65714285714285714</c:v>
                </c:pt>
                <c:pt idx="5">
                  <c:v>0.72</c:v>
                </c:pt>
                <c:pt idx="6">
                  <c:v>0.87333333333333329</c:v>
                </c:pt>
                <c:pt idx="7">
                  <c:v>0.94</c:v>
                </c:pt>
                <c:pt idx="8">
                  <c:v>0.98</c:v>
                </c:pt>
                <c:pt idx="9">
                  <c:v>0.98399999999999999</c:v>
                </c:pt>
              </c:numCache>
            </c:numRef>
          </c:val>
          <c:extLst>
            <c:ext xmlns:c16="http://schemas.microsoft.com/office/drawing/2014/chart" uri="{C3380CC4-5D6E-409C-BE32-E72D297353CC}">
              <c16:uniqueId val="{00000000-BC91-49EB-B30D-9CE1B658D3C8}"/>
            </c:ext>
          </c:extLst>
        </c:ser>
        <c:dLbls>
          <c:showLegendKey val="0"/>
          <c:showVal val="1"/>
          <c:showCatName val="0"/>
          <c:showSerName val="0"/>
          <c:showPercent val="0"/>
          <c:showBubbleSize val="0"/>
        </c:dLbls>
        <c:gapWidth val="269"/>
        <c:overlap val="-20"/>
        <c:axId val="95481792"/>
        <c:axId val="1905082928"/>
      </c:barChart>
      <c:catAx>
        <c:axId val="9548179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05082928"/>
        <c:crosses val="autoZero"/>
        <c:auto val="1"/>
        <c:lblAlgn val="ctr"/>
        <c:lblOffset val="100"/>
        <c:noMultiLvlLbl val="0"/>
      </c:catAx>
      <c:valAx>
        <c:axId val="1905082928"/>
        <c:scaling>
          <c:orientation val="minMax"/>
        </c:scaling>
        <c:delete val="1"/>
        <c:axPos val="b"/>
        <c:majorGridlines>
          <c:spPr>
            <a:ln w="9525" cap="flat" cmpd="sng" algn="ctr">
              <a:solidFill>
                <a:schemeClr val="lt1">
                  <a:alpha val="25000"/>
                </a:schemeClr>
              </a:solidFill>
              <a:round/>
            </a:ln>
            <a:effectLst/>
          </c:spPr>
        </c:majorGridlines>
        <c:numFmt formatCode="0.00" sourceLinked="1"/>
        <c:majorTickMark val="none"/>
        <c:minorTickMark val="none"/>
        <c:tickLblPos val="nextTo"/>
        <c:crossAx val="954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CATEGORY Outflow-Inflow Ratio</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bar"/>
        <c:grouping val="clustered"/>
        <c:varyColors val="0"/>
        <c:ser>
          <c:idx val="0"/>
          <c:order val="0"/>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'ref&amp;calc'!$H$30:$H$32</c:f>
              <c:strCache>
                <c:ptCount val="3"/>
                <c:pt idx="0">
                  <c:v>Kitchen Items</c:v>
                </c:pt>
                <c:pt idx="1">
                  <c:v>Toiletries</c:v>
                </c:pt>
                <c:pt idx="2">
                  <c:v>Home Care</c:v>
                </c:pt>
              </c:strCache>
            </c:strRef>
          </c:cat>
          <c:val>
            <c:numRef>
              <c:f>'ref&amp;calc'!$I$30:$I$32</c:f>
              <c:numCache>
                <c:formatCode>0.00</c:formatCode>
                <c:ptCount val="3"/>
                <c:pt idx="0">
                  <c:v>0.72307692307692306</c:v>
                </c:pt>
                <c:pt idx="1">
                  <c:v>0.79249999999999998</c:v>
                </c:pt>
                <c:pt idx="2">
                  <c:v>0.83529411764705885</c:v>
                </c:pt>
              </c:numCache>
            </c:numRef>
          </c:val>
          <c:extLst>
            <c:ext xmlns:c16="http://schemas.microsoft.com/office/drawing/2014/chart" uri="{C3380CC4-5D6E-409C-BE32-E72D297353CC}">
              <c16:uniqueId val="{00000000-CA6D-490F-AF58-08DB2C7DD967}"/>
            </c:ext>
          </c:extLst>
        </c:ser>
        <c:dLbls>
          <c:showLegendKey val="0"/>
          <c:showVal val="1"/>
          <c:showCatName val="0"/>
          <c:showSerName val="0"/>
          <c:showPercent val="0"/>
          <c:showBubbleSize val="0"/>
        </c:dLbls>
        <c:gapWidth val="269"/>
        <c:overlap val="-20"/>
        <c:axId val="95481792"/>
        <c:axId val="1905082928"/>
      </c:barChart>
      <c:catAx>
        <c:axId val="95481792"/>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905082928"/>
        <c:crosses val="autoZero"/>
        <c:auto val="1"/>
        <c:lblAlgn val="ctr"/>
        <c:lblOffset val="100"/>
        <c:noMultiLvlLbl val="0"/>
      </c:catAx>
      <c:valAx>
        <c:axId val="1905082928"/>
        <c:scaling>
          <c:orientation val="minMax"/>
        </c:scaling>
        <c:delete val="1"/>
        <c:axPos val="b"/>
        <c:majorGridlines>
          <c:spPr>
            <a:ln w="9525" cap="flat" cmpd="sng" algn="ctr">
              <a:solidFill>
                <a:schemeClr val="lt1">
                  <a:alpha val="25000"/>
                </a:schemeClr>
              </a:solidFill>
              <a:round/>
            </a:ln>
            <a:effectLst/>
          </c:spPr>
        </c:majorGridlines>
        <c:numFmt formatCode="0.00" sourceLinked="1"/>
        <c:majorTickMark val="none"/>
        <c:minorTickMark val="none"/>
        <c:tickLblPos val="nextTo"/>
        <c:crossAx val="9548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CURRENT Value per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5"/>
              </a:fgClr>
              <a:bgClr>
                <a:schemeClr val="lt1"/>
              </a:bgClr>
            </a:pattFill>
            <a:ln>
              <a:noFill/>
            </a:ln>
            <a:effectLst/>
          </c:spPr>
          <c:invertIfNegative val="0"/>
          <c:dLbls>
            <c:dLbl>
              <c:idx val="1"/>
              <c:layout>
                <c:manualLayout>
                  <c:x val="9.5394737665723175E-3"/>
                  <c:y val="-0.15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F3-473E-8073-109A362600B4}"/>
                </c:ext>
              </c:extLst>
            </c:dLbl>
            <c:dLbl>
              <c:idx val="5"/>
              <c:layout>
                <c:manualLayout>
                  <c:x val="9.5394737665722741E-3"/>
                  <c:y val="-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F3-473E-8073-109A362600B4}"/>
                </c:ext>
              </c:extLst>
            </c:dLbl>
            <c:dLbl>
              <c:idx val="6"/>
              <c:layout>
                <c:manualLayout>
                  <c:x val="3.1798245888574441E-3"/>
                  <c:y val="-0.14666666666666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F3-473E-8073-109A362600B4}"/>
                </c:ext>
              </c:extLst>
            </c:dLbl>
            <c:dLbl>
              <c:idx val="7"/>
              <c:layout>
                <c:manualLayout>
                  <c:x val="-1.2719298355429776E-2"/>
                  <c:y val="-5.33333333333333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F3-473E-8073-109A362600B4}"/>
                </c:ext>
              </c:extLst>
            </c:dLbl>
            <c:dLbl>
              <c:idx val="8"/>
              <c:layout>
                <c:manualLayout>
                  <c:x val="-6.3596491777148881E-3"/>
                  <c:y val="-0.126666666666666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F3-473E-8073-109A362600B4}"/>
                </c:ext>
              </c:extLst>
            </c:dLbl>
            <c:spPr>
              <a:solidFill>
                <a:schemeClr val="accent5">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'ref&amp;calc'!$A$21:$A$30</c:f>
              <c:strCache>
                <c:ptCount val="10"/>
                <c:pt idx="0">
                  <c:v>Body Soap</c:v>
                </c:pt>
                <c:pt idx="1">
                  <c:v>Sun Flower Oil</c:v>
                </c:pt>
                <c:pt idx="2">
                  <c:v>Rice</c:v>
                </c:pt>
                <c:pt idx="3">
                  <c:v>Vacuum Cleaner</c:v>
                </c:pt>
                <c:pt idx="4">
                  <c:v>Wheat Powder</c:v>
                </c:pt>
                <c:pt idx="5">
                  <c:v>Bucket</c:v>
                </c:pt>
                <c:pt idx="6">
                  <c:v>Knife</c:v>
                </c:pt>
                <c:pt idx="7">
                  <c:v>Broom</c:v>
                </c:pt>
                <c:pt idx="8">
                  <c:v>Tooth Paste</c:v>
                </c:pt>
                <c:pt idx="9">
                  <c:v>Detergents</c:v>
                </c:pt>
              </c:strCache>
            </c:strRef>
          </c:cat>
          <c:val>
            <c:numRef>
              <c:f>'ref&amp;calc'!$C$21:$C$30</c:f>
              <c:numCache>
                <c:formatCode>_("$"* #,##0.00_);_("$"* \(#,##0.00\);_("$"* "-"??_);_(@_)</c:formatCode>
                <c:ptCount val="10"/>
                <c:pt idx="0">
                  <c:v>6240</c:v>
                </c:pt>
                <c:pt idx="1">
                  <c:v>2465</c:v>
                </c:pt>
                <c:pt idx="2">
                  <c:v>600</c:v>
                </c:pt>
                <c:pt idx="3">
                  <c:v>18000</c:v>
                </c:pt>
                <c:pt idx="4">
                  <c:v>960</c:v>
                </c:pt>
                <c:pt idx="5">
                  <c:v>3500</c:v>
                </c:pt>
                <c:pt idx="6">
                  <c:v>1140</c:v>
                </c:pt>
                <c:pt idx="7">
                  <c:v>375</c:v>
                </c:pt>
                <c:pt idx="8">
                  <c:v>150</c:v>
                </c:pt>
                <c:pt idx="9">
                  <c:v>40</c:v>
                </c:pt>
              </c:numCache>
            </c:numRef>
          </c:val>
          <c:extLst>
            <c:ext xmlns:c16="http://schemas.microsoft.com/office/drawing/2014/chart" uri="{C3380CC4-5D6E-409C-BE32-E72D297353CC}">
              <c16:uniqueId val="{00000000-87F3-473E-8073-109A362600B4}"/>
            </c:ext>
          </c:extLst>
        </c:ser>
        <c:dLbls>
          <c:showLegendKey val="0"/>
          <c:showVal val="1"/>
          <c:showCatName val="0"/>
          <c:showSerName val="0"/>
          <c:showPercent val="0"/>
          <c:showBubbleSize val="0"/>
        </c:dLbls>
        <c:gapWidth val="150"/>
        <c:overlap val="-25"/>
        <c:axId val="204919728"/>
        <c:axId val="707661952"/>
      </c:barChart>
      <c:catAx>
        <c:axId val="204919728"/>
        <c:scaling>
          <c:orientation val="minMax"/>
        </c:scaling>
        <c:delete val="0"/>
        <c:axPos val="b"/>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07661952"/>
        <c:crosses val="autoZero"/>
        <c:auto val="1"/>
        <c:lblAlgn val="ctr"/>
        <c:lblOffset val="100"/>
        <c:noMultiLvlLbl val="0"/>
      </c:catAx>
      <c:valAx>
        <c:axId val="707661952"/>
        <c:scaling>
          <c:orientation val="minMax"/>
        </c:scaling>
        <c:delete val="1"/>
        <c:axPos val="l"/>
        <c:numFmt formatCode="_(&quot;$&quot;* #,##0.00_);_(&quot;$&quot;* \(#,##0.00\);_(&quot;$&quot;* &quot;-&quot;??_);_(@_)" sourceLinked="1"/>
        <c:majorTickMark val="none"/>
        <c:minorTickMark val="none"/>
        <c:tickLblPos val="nextTo"/>
        <c:crossAx val="2049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INFLOW Value per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5"/>
              </a:fgClr>
              <a:bgClr>
                <a:schemeClr val="lt1"/>
              </a:bgClr>
            </a:pattFill>
            <a:ln>
              <a:noFill/>
            </a:ln>
            <a:effectLst/>
          </c:spPr>
          <c:invertIfNegative val="0"/>
          <c:dLbls>
            <c:dLbl>
              <c:idx val="0"/>
              <c:layout>
                <c:manualLayout>
                  <c:x val="6.3418554721099427E-3"/>
                  <c:y val="-7.33333333333333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23A-4C5E-808C-9C927CBEC811}"/>
                </c:ext>
              </c:extLst>
            </c:dLbl>
            <c:dLbl>
              <c:idx val="1"/>
              <c:layout>
                <c:manualLayout>
                  <c:x val="-1.9025566416329829E-2"/>
                  <c:y val="-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23A-4C5E-808C-9C927CBEC811}"/>
                </c:ext>
              </c:extLst>
            </c:dLbl>
            <c:dLbl>
              <c:idx val="5"/>
              <c:layout>
                <c:manualLayout>
                  <c:x val="-1.2683710944219944E-2"/>
                  <c:y val="-4.66666666666666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23A-4C5E-808C-9C927CBEC811}"/>
                </c:ext>
              </c:extLst>
            </c:dLbl>
            <c:dLbl>
              <c:idx val="7"/>
              <c:layout>
                <c:manualLayout>
                  <c:x val="-9.5127832081649145E-3"/>
                  <c:y val="-9.33333333333333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23A-4C5E-808C-9C927CBEC811}"/>
                </c:ext>
              </c:extLst>
            </c:dLbl>
            <c:dLbl>
              <c:idx val="8"/>
              <c:layout>
                <c:manualLayout>
                  <c:x val="5.3905771512934395E-2"/>
                  <c:y val="-9.33333333333333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23A-4C5E-808C-9C927CBEC811}"/>
                </c:ext>
              </c:extLst>
            </c:dLbl>
            <c:spPr>
              <a:solidFill>
                <a:schemeClr val="accent5">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'ref&amp;calc'!$A$21:$A$30</c:f>
              <c:strCache>
                <c:ptCount val="10"/>
                <c:pt idx="0">
                  <c:v>Body Soap</c:v>
                </c:pt>
                <c:pt idx="1">
                  <c:v>Sun Flower Oil</c:v>
                </c:pt>
                <c:pt idx="2">
                  <c:v>Rice</c:v>
                </c:pt>
                <c:pt idx="3">
                  <c:v>Vacuum Cleaner</c:v>
                </c:pt>
                <c:pt idx="4">
                  <c:v>Wheat Powder</c:v>
                </c:pt>
                <c:pt idx="5">
                  <c:v>Bucket</c:v>
                </c:pt>
                <c:pt idx="6">
                  <c:v>Knife</c:v>
                </c:pt>
                <c:pt idx="7">
                  <c:v>Broom</c:v>
                </c:pt>
                <c:pt idx="8">
                  <c:v>Tooth Paste</c:v>
                </c:pt>
                <c:pt idx="9">
                  <c:v>Detergents</c:v>
                </c:pt>
              </c:strCache>
            </c:strRef>
          </c:cat>
          <c:val>
            <c:numRef>
              <c:f>'ref&amp;calc'!$D$21:$D$30</c:f>
              <c:numCache>
                <c:formatCode>_("$"* #,##0.00_);_("$"* \(#,##0.00\);_("$"* "-"??_);_(@_)</c:formatCode>
                <c:ptCount val="10"/>
                <c:pt idx="0">
                  <c:v>10000</c:v>
                </c:pt>
                <c:pt idx="1">
                  <c:v>4250</c:v>
                </c:pt>
                <c:pt idx="2">
                  <c:v>1250</c:v>
                </c:pt>
                <c:pt idx="3">
                  <c:v>45000</c:v>
                </c:pt>
                <c:pt idx="4">
                  <c:v>2800</c:v>
                </c:pt>
                <c:pt idx="5">
                  <c:v>12500</c:v>
                </c:pt>
                <c:pt idx="6">
                  <c:v>9000</c:v>
                </c:pt>
                <c:pt idx="7">
                  <c:v>6250</c:v>
                </c:pt>
                <c:pt idx="8">
                  <c:v>7500</c:v>
                </c:pt>
                <c:pt idx="9">
                  <c:v>2500</c:v>
                </c:pt>
              </c:numCache>
            </c:numRef>
          </c:val>
          <c:extLst>
            <c:ext xmlns:c16="http://schemas.microsoft.com/office/drawing/2014/chart" uri="{C3380CC4-5D6E-409C-BE32-E72D297353CC}">
              <c16:uniqueId val="{00000000-823A-4C5E-808C-9C927CBEC811}"/>
            </c:ext>
          </c:extLst>
        </c:ser>
        <c:dLbls>
          <c:showLegendKey val="0"/>
          <c:showVal val="1"/>
          <c:showCatName val="0"/>
          <c:showSerName val="0"/>
          <c:showPercent val="0"/>
          <c:showBubbleSize val="0"/>
        </c:dLbls>
        <c:gapWidth val="150"/>
        <c:overlap val="-25"/>
        <c:axId val="204919728"/>
        <c:axId val="707661952"/>
      </c:barChart>
      <c:catAx>
        <c:axId val="204919728"/>
        <c:scaling>
          <c:orientation val="minMax"/>
        </c:scaling>
        <c:delete val="0"/>
        <c:axPos val="b"/>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07661952"/>
        <c:crosses val="autoZero"/>
        <c:auto val="1"/>
        <c:lblAlgn val="ctr"/>
        <c:lblOffset val="100"/>
        <c:noMultiLvlLbl val="0"/>
      </c:catAx>
      <c:valAx>
        <c:axId val="707661952"/>
        <c:scaling>
          <c:orientation val="minMax"/>
        </c:scaling>
        <c:delete val="1"/>
        <c:axPos val="l"/>
        <c:numFmt formatCode="_(&quot;$&quot;* #,##0.00_);_(&quot;$&quot;* \(#,##0.00\);_(&quot;$&quot;* &quot;-&quot;??_);_(@_)" sourceLinked="1"/>
        <c:majorTickMark val="none"/>
        <c:minorTickMark val="none"/>
        <c:tickLblPos val="nextTo"/>
        <c:crossAx val="2049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Outflow Value per Product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5"/>
              </a:fgClr>
              <a:bgClr>
                <a:schemeClr val="lt1"/>
              </a:bgClr>
            </a:pattFill>
            <a:ln>
              <a:noFill/>
            </a:ln>
            <a:effectLst/>
          </c:spPr>
          <c:invertIfNegative val="0"/>
          <c:dLbls>
            <c:dLbl>
              <c:idx val="0"/>
              <c:layout>
                <c:manualLayout>
                  <c:x val="-2.2258772122002116E-2"/>
                  <c:y val="-0.12000000000000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AA2-4C48-8BD2-BB2399966BA0}"/>
                </c:ext>
              </c:extLst>
            </c:dLbl>
            <c:dLbl>
              <c:idx val="1"/>
              <c:layout>
                <c:manualLayout>
                  <c:x val="-3.1798245888574453E-2"/>
                  <c:y val="-0.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AA2-4C48-8BD2-BB2399966BA0}"/>
                </c:ext>
              </c:extLst>
            </c:dLbl>
            <c:dLbl>
              <c:idx val="5"/>
              <c:layout>
                <c:manualLayout>
                  <c:x val="-6.0416667188291438E-2"/>
                  <c:y val="-4.00000000000000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AA2-4C48-8BD2-BB2399966BA0}"/>
                </c:ext>
              </c:extLst>
            </c:dLbl>
            <c:dLbl>
              <c:idx val="6"/>
              <c:layout>
                <c:manualLayout>
                  <c:x val="-1.9078947533144663E-2"/>
                  <c:y val="-0.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AA2-4C48-8BD2-BB2399966BA0}"/>
                </c:ext>
              </c:extLst>
            </c:dLbl>
            <c:dLbl>
              <c:idx val="7"/>
              <c:layout>
                <c:manualLayout>
                  <c:x val="-2.5438596710859667E-2"/>
                  <c:y val="-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AA2-4C48-8BD2-BB2399966BA0}"/>
                </c:ext>
              </c:extLst>
            </c:dLbl>
            <c:dLbl>
              <c:idx val="8"/>
              <c:layout>
                <c:manualLayout>
                  <c:x val="2.2258772122002109E-2"/>
                  <c:y val="-6.66666666666666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AA2-4C48-8BD2-BB2399966BA0}"/>
                </c:ext>
              </c:extLst>
            </c:dLbl>
            <c:spPr>
              <a:solidFill>
                <a:schemeClr val="accent5">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'ref&amp;calc'!$A$21:$A$30</c:f>
              <c:strCache>
                <c:ptCount val="10"/>
                <c:pt idx="0">
                  <c:v>Body Soap</c:v>
                </c:pt>
                <c:pt idx="1">
                  <c:v>Sun Flower Oil</c:v>
                </c:pt>
                <c:pt idx="2">
                  <c:v>Rice</c:v>
                </c:pt>
                <c:pt idx="3">
                  <c:v>Vacuum Cleaner</c:v>
                </c:pt>
                <c:pt idx="4">
                  <c:v>Wheat Powder</c:v>
                </c:pt>
                <c:pt idx="5">
                  <c:v>Bucket</c:v>
                </c:pt>
                <c:pt idx="6">
                  <c:v>Knife</c:v>
                </c:pt>
                <c:pt idx="7">
                  <c:v>Broom</c:v>
                </c:pt>
                <c:pt idx="8">
                  <c:v>Tooth Paste</c:v>
                </c:pt>
                <c:pt idx="9">
                  <c:v>Detergents</c:v>
                </c:pt>
              </c:strCache>
            </c:strRef>
          </c:cat>
          <c:val>
            <c:numRef>
              <c:f>'ref&amp;calc'!$E$21:$E$30</c:f>
              <c:numCache>
                <c:formatCode>_("$"* #,##0.00_);_("$"* \(#,##0.00\);_("$"* "-"??_);_(@_)</c:formatCode>
                <c:ptCount val="10"/>
                <c:pt idx="0">
                  <c:v>3760</c:v>
                </c:pt>
                <c:pt idx="1">
                  <c:v>1785</c:v>
                </c:pt>
                <c:pt idx="2">
                  <c:v>650</c:v>
                </c:pt>
                <c:pt idx="3">
                  <c:v>27000</c:v>
                </c:pt>
                <c:pt idx="4">
                  <c:v>1840</c:v>
                </c:pt>
                <c:pt idx="5">
                  <c:v>9000</c:v>
                </c:pt>
                <c:pt idx="6">
                  <c:v>7860</c:v>
                </c:pt>
                <c:pt idx="7">
                  <c:v>5875</c:v>
                </c:pt>
                <c:pt idx="8">
                  <c:v>7350</c:v>
                </c:pt>
                <c:pt idx="9">
                  <c:v>2460</c:v>
                </c:pt>
              </c:numCache>
            </c:numRef>
          </c:val>
          <c:extLst>
            <c:ext xmlns:c16="http://schemas.microsoft.com/office/drawing/2014/chart" uri="{C3380CC4-5D6E-409C-BE32-E72D297353CC}">
              <c16:uniqueId val="{00000000-0AA2-4C48-8BD2-BB2399966BA0}"/>
            </c:ext>
          </c:extLst>
        </c:ser>
        <c:dLbls>
          <c:showLegendKey val="0"/>
          <c:showVal val="1"/>
          <c:showCatName val="0"/>
          <c:showSerName val="0"/>
          <c:showPercent val="0"/>
          <c:showBubbleSize val="0"/>
        </c:dLbls>
        <c:gapWidth val="150"/>
        <c:overlap val="-25"/>
        <c:axId val="204919728"/>
        <c:axId val="707661952"/>
      </c:barChart>
      <c:catAx>
        <c:axId val="204919728"/>
        <c:scaling>
          <c:orientation val="minMax"/>
        </c:scaling>
        <c:delete val="0"/>
        <c:axPos val="b"/>
        <c:numFmt formatCode="General" sourceLinked="1"/>
        <c:majorTickMark val="none"/>
        <c:minorTickMark val="none"/>
        <c:tickLblPos val="nextTo"/>
        <c:spPr>
          <a:noFill/>
          <a:ln w="3175" cap="flat" cmpd="sng" algn="ctr">
            <a:solidFill>
              <a:schemeClr val="accent5">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707661952"/>
        <c:crosses val="autoZero"/>
        <c:auto val="1"/>
        <c:lblAlgn val="ctr"/>
        <c:lblOffset val="100"/>
        <c:noMultiLvlLbl val="0"/>
      </c:catAx>
      <c:valAx>
        <c:axId val="707661952"/>
        <c:scaling>
          <c:orientation val="minMax"/>
        </c:scaling>
        <c:delete val="1"/>
        <c:axPos val="l"/>
        <c:numFmt formatCode="_(&quot;$&quot;* #,##0.00_);_(&quot;$&quot;* \(#,##0.00\);_(&quot;$&quot;* &quot;-&quot;??_);_(@_)" sourceLinked="1"/>
        <c:majorTickMark val="none"/>
        <c:minorTickMark val="none"/>
        <c:tickLblPos val="nextTo"/>
        <c:crossAx val="2049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Current Stock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v>Current Stocks</c:v>
          </c:tx>
          <c:dPt>
            <c:idx val="0"/>
            <c:bubble3D val="0"/>
            <c:spPr>
              <a:gradFill rotWithShape="1">
                <a:gsLst>
                  <a:gs pos="0">
                    <a:schemeClr val="accent5">
                      <a:shade val="65000"/>
                      <a:satMod val="103000"/>
                      <a:lumMod val="102000"/>
                      <a:tint val="94000"/>
                    </a:schemeClr>
                  </a:gs>
                  <a:gs pos="50000">
                    <a:schemeClr val="accent5">
                      <a:shade val="65000"/>
                      <a:satMod val="110000"/>
                      <a:lumMod val="100000"/>
                      <a:shade val="100000"/>
                    </a:schemeClr>
                  </a:gs>
                  <a:gs pos="100000">
                    <a:schemeClr val="accent5">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C668-436C-B00D-0F2487E2B21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C668-436C-B00D-0F2487E2B21A}"/>
              </c:ext>
            </c:extLst>
          </c:dPt>
          <c:dPt>
            <c:idx val="2"/>
            <c:bubble3D val="0"/>
            <c:spPr>
              <a:gradFill rotWithShape="1">
                <a:gsLst>
                  <a:gs pos="0">
                    <a:schemeClr val="accent5">
                      <a:tint val="65000"/>
                      <a:satMod val="103000"/>
                      <a:lumMod val="102000"/>
                      <a:tint val="94000"/>
                    </a:schemeClr>
                  </a:gs>
                  <a:gs pos="50000">
                    <a:schemeClr val="accent5">
                      <a:tint val="65000"/>
                      <a:satMod val="110000"/>
                      <a:lumMod val="100000"/>
                      <a:shade val="100000"/>
                    </a:schemeClr>
                  </a:gs>
                  <a:gs pos="100000">
                    <a:schemeClr val="accent5">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C668-436C-B00D-0F2487E2B21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'ref&amp;calc'!$B$2:$B$4</c:f>
              <c:strCache>
                <c:ptCount val="3"/>
                <c:pt idx="0">
                  <c:v>Toiletries</c:v>
                </c:pt>
                <c:pt idx="1">
                  <c:v>Home Care</c:v>
                </c:pt>
                <c:pt idx="2">
                  <c:v>Kitchen Items</c:v>
                </c:pt>
              </c:strCache>
            </c:strRef>
          </c:cat>
          <c:val>
            <c:numRef>
              <c:f>'ref&amp;calc'!$L$2:$L$4</c:f>
              <c:numCache>
                <c:formatCode>General</c:formatCode>
                <c:ptCount val="3"/>
                <c:pt idx="0">
                  <c:v>166</c:v>
                </c:pt>
                <c:pt idx="1">
                  <c:v>14</c:v>
                </c:pt>
                <c:pt idx="2">
                  <c:v>72</c:v>
                </c:pt>
              </c:numCache>
            </c:numRef>
          </c:val>
          <c:extLst>
            <c:ext xmlns:c16="http://schemas.microsoft.com/office/drawing/2014/chart" uri="{C3380CC4-5D6E-409C-BE32-E72D297353CC}">
              <c16:uniqueId val="{00000006-C668-436C-B00D-0F2487E2B21A}"/>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image" Target="../media/image2.emf"/><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1.emf"/><Relationship Id="rId5" Type="http://schemas.openxmlformats.org/officeDocument/2006/relationships/chart" Target="../charts/chart13.xml"/><Relationship Id="rId4"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30</xdr:row>
      <xdr:rowOff>0</xdr:rowOff>
    </xdr:from>
    <xdr:to>
      <xdr:col>3</xdr:col>
      <xdr:colOff>782200</xdr:colOff>
      <xdr:row>41</xdr:row>
      <xdr:rowOff>7620</xdr:rowOff>
    </xdr:to>
    <xdr:graphicFrame macro="">
      <xdr:nvGraphicFramePr>
        <xdr:cNvPr id="5" name="Chart 4">
          <a:extLst>
            <a:ext uri="{FF2B5EF4-FFF2-40B4-BE49-F238E27FC236}">
              <a16:creationId xmlns:a16="http://schemas.microsoft.com/office/drawing/2014/main" id="{1ACB02E5-A6BD-4891-BFE6-46C7CC9F701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236836</xdr:colOff>
      <xdr:row>30</xdr:row>
      <xdr:rowOff>89647</xdr:rowOff>
    </xdr:from>
    <xdr:to>
      <xdr:col>6</xdr:col>
      <xdr:colOff>332755</xdr:colOff>
      <xdr:row>41</xdr:row>
      <xdr:rowOff>97267</xdr:rowOff>
    </xdr:to>
    <xdr:graphicFrame macro="">
      <xdr:nvGraphicFramePr>
        <xdr:cNvPr id="6" name="Chart 5">
          <a:extLst>
            <a:ext uri="{FF2B5EF4-FFF2-40B4-BE49-F238E27FC236}">
              <a16:creationId xmlns:a16="http://schemas.microsoft.com/office/drawing/2014/main" id="{7B9DDC86-4823-4B18-8675-BF8E56A9F2F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501513</xdr:colOff>
      <xdr:row>30</xdr:row>
      <xdr:rowOff>0</xdr:rowOff>
    </xdr:from>
    <xdr:to>
      <xdr:col>12</xdr:col>
      <xdr:colOff>32736</xdr:colOff>
      <xdr:row>41</xdr:row>
      <xdr:rowOff>7620</xdr:rowOff>
    </xdr:to>
    <xdr:graphicFrame macro="">
      <xdr:nvGraphicFramePr>
        <xdr:cNvPr id="7" name="Chart 6">
          <a:extLst>
            <a:ext uri="{FF2B5EF4-FFF2-40B4-BE49-F238E27FC236}">
              <a16:creationId xmlns:a16="http://schemas.microsoft.com/office/drawing/2014/main" id="{2147998A-5C25-47A5-8856-783745E1AF7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0</xdr:rowOff>
    </xdr:from>
    <xdr:to>
      <xdr:col>5</xdr:col>
      <xdr:colOff>44823</xdr:colOff>
      <xdr:row>45</xdr:row>
      <xdr:rowOff>15240</xdr:rowOff>
    </xdr:to>
    <xdr:graphicFrame macro="">
      <xdr:nvGraphicFramePr>
        <xdr:cNvPr id="9" name="Chart 8">
          <a:extLst>
            <a:ext uri="{FF2B5EF4-FFF2-40B4-BE49-F238E27FC236}">
              <a16:creationId xmlns:a16="http://schemas.microsoft.com/office/drawing/2014/main" id="{C454DB20-9A05-4FBE-BEB9-D1D4C11D6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0</xdr:rowOff>
    </xdr:from>
    <xdr:to>
      <xdr:col>5</xdr:col>
      <xdr:colOff>44017</xdr:colOff>
      <xdr:row>56</xdr:row>
      <xdr:rowOff>15240</xdr:rowOff>
    </xdr:to>
    <xdr:graphicFrame macro="">
      <xdr:nvGraphicFramePr>
        <xdr:cNvPr id="13" name="Chart 12">
          <a:extLst>
            <a:ext uri="{FF2B5EF4-FFF2-40B4-BE49-F238E27FC236}">
              <a16:creationId xmlns:a16="http://schemas.microsoft.com/office/drawing/2014/main" id="{85AF97DF-465D-4F49-8569-E1E1A3F41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35</xdr:row>
      <xdr:rowOff>0</xdr:rowOff>
    </xdr:from>
    <xdr:to>
      <xdr:col>12</xdr:col>
      <xdr:colOff>0</xdr:colOff>
      <xdr:row>45</xdr:row>
      <xdr:rowOff>0</xdr:rowOff>
    </xdr:to>
    <xdr:graphicFrame macro="">
      <xdr:nvGraphicFramePr>
        <xdr:cNvPr id="28" name="Chart 27">
          <a:extLst>
            <a:ext uri="{FF2B5EF4-FFF2-40B4-BE49-F238E27FC236}">
              <a16:creationId xmlns:a16="http://schemas.microsoft.com/office/drawing/2014/main" id="{7CB04B87-D660-4A47-9238-ED3F92B4C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46</xdr:row>
      <xdr:rowOff>0</xdr:rowOff>
    </xdr:from>
    <xdr:to>
      <xdr:col>12</xdr:col>
      <xdr:colOff>11206</xdr:colOff>
      <xdr:row>56</xdr:row>
      <xdr:rowOff>0</xdr:rowOff>
    </xdr:to>
    <xdr:graphicFrame macro="">
      <xdr:nvGraphicFramePr>
        <xdr:cNvPr id="29" name="Chart 28">
          <a:extLst>
            <a:ext uri="{FF2B5EF4-FFF2-40B4-BE49-F238E27FC236}">
              <a16:creationId xmlns:a16="http://schemas.microsoft.com/office/drawing/2014/main" id="{6D85C4B5-FAC5-4B34-84DC-9FB17D683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57</xdr:row>
      <xdr:rowOff>0</xdr:rowOff>
    </xdr:from>
    <xdr:to>
      <xdr:col>12</xdr:col>
      <xdr:colOff>0</xdr:colOff>
      <xdr:row>67</xdr:row>
      <xdr:rowOff>0</xdr:rowOff>
    </xdr:to>
    <xdr:graphicFrame macro="">
      <xdr:nvGraphicFramePr>
        <xdr:cNvPr id="30" name="Chart 29">
          <a:extLst>
            <a:ext uri="{FF2B5EF4-FFF2-40B4-BE49-F238E27FC236}">
              <a16:creationId xmlns:a16="http://schemas.microsoft.com/office/drawing/2014/main" id="{B5A95E3B-6FC3-41E5-BD54-A4850C160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95249</xdr:colOff>
      <xdr:row>0</xdr:row>
      <xdr:rowOff>122463</xdr:rowOff>
    </xdr:from>
    <xdr:to>
      <xdr:col>20</xdr:col>
      <xdr:colOff>49479</xdr:colOff>
      <xdr:row>36</xdr:row>
      <xdr:rowOff>59375</xdr:rowOff>
    </xdr:to>
    <xdr:sp macro="" textlink="">
      <xdr:nvSpPr>
        <xdr:cNvPr id="24" name="Rectangle 23">
          <a:extLst>
            <a:ext uri="{FF2B5EF4-FFF2-40B4-BE49-F238E27FC236}">
              <a16:creationId xmlns:a16="http://schemas.microsoft.com/office/drawing/2014/main" id="{62E1D4F1-27B6-429A-A251-839D1D74D477}"/>
            </a:ext>
          </a:extLst>
        </xdr:cNvPr>
        <xdr:cNvSpPr/>
      </xdr:nvSpPr>
      <xdr:spPr>
        <a:xfrm>
          <a:off x="95249" y="122463"/>
          <a:ext cx="12200659" cy="6849341"/>
        </a:xfrm>
        <a:prstGeom prst="rect">
          <a:avLst/>
        </a:prstGeom>
        <a:noFill/>
        <a:ln w="76200">
          <a:solidFill>
            <a:schemeClr val="accent5">
              <a:lumMod val="7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179294</xdr:colOff>
      <xdr:row>1</xdr:row>
      <xdr:rowOff>22955</xdr:rowOff>
    </xdr:from>
    <xdr:to>
      <xdr:col>19</xdr:col>
      <xdr:colOff>546687</xdr:colOff>
      <xdr:row>3</xdr:row>
      <xdr:rowOff>163285</xdr:rowOff>
    </xdr:to>
    <xdr:sp macro="" textlink="">
      <xdr:nvSpPr>
        <xdr:cNvPr id="3" name="Rectangle 2">
          <a:extLst>
            <a:ext uri="{FF2B5EF4-FFF2-40B4-BE49-F238E27FC236}">
              <a16:creationId xmlns:a16="http://schemas.microsoft.com/office/drawing/2014/main" id="{D7AF35C1-B5C7-41F1-9E73-D766771532D2}"/>
            </a:ext>
          </a:extLst>
        </xdr:cNvPr>
        <xdr:cNvSpPr/>
      </xdr:nvSpPr>
      <xdr:spPr>
        <a:xfrm>
          <a:off x="179294" y="213455"/>
          <a:ext cx="11461217" cy="521330"/>
        </a:xfrm>
        <a:prstGeom prst="rect">
          <a:avLst/>
        </a:prstGeom>
        <a:ln w="28575">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3200" b="1">
              <a:solidFill>
                <a:schemeClr val="bg2">
                  <a:lumMod val="50000"/>
                </a:schemeClr>
              </a:solidFill>
              <a:latin typeface="Arial" panose="020B0604020202020204" pitchFamily="34" charset="0"/>
              <a:cs typeface="Arial" panose="020B0604020202020204" pitchFamily="34" charset="0"/>
            </a:rPr>
            <a:t>INVENTORY MANAGEMENT DASHBOARD</a:t>
          </a:r>
        </a:p>
      </xdr:txBody>
    </xdr:sp>
    <xdr:clientData/>
  </xdr:twoCellAnchor>
  <xdr:twoCellAnchor>
    <xdr:from>
      <xdr:col>0</xdr:col>
      <xdr:colOff>171304</xdr:colOff>
      <xdr:row>9</xdr:row>
      <xdr:rowOff>81642</xdr:rowOff>
    </xdr:from>
    <xdr:to>
      <xdr:col>5</xdr:col>
      <xdr:colOff>272143</xdr:colOff>
      <xdr:row>35</xdr:row>
      <xdr:rowOff>95249</xdr:rowOff>
    </xdr:to>
    <xdr:grpSp>
      <xdr:nvGrpSpPr>
        <xdr:cNvPr id="2" name="Group 1">
          <a:extLst>
            <a:ext uri="{FF2B5EF4-FFF2-40B4-BE49-F238E27FC236}">
              <a16:creationId xmlns:a16="http://schemas.microsoft.com/office/drawing/2014/main" id="{522DA726-DA15-4D81-89A5-5A749889A209}"/>
            </a:ext>
          </a:extLst>
        </xdr:cNvPr>
        <xdr:cNvGrpSpPr/>
      </xdr:nvGrpSpPr>
      <xdr:grpSpPr>
        <a:xfrm>
          <a:off x="171304" y="1850571"/>
          <a:ext cx="2754232" cy="4966607"/>
          <a:chOff x="293769" y="1858034"/>
          <a:chExt cx="2406479" cy="4676285"/>
        </a:xfrm>
      </xdr:grpSpPr>
      <xdr:grpSp>
        <xdr:nvGrpSpPr>
          <xdr:cNvPr id="19" name="Group 18">
            <a:extLst>
              <a:ext uri="{FF2B5EF4-FFF2-40B4-BE49-F238E27FC236}">
                <a16:creationId xmlns:a16="http://schemas.microsoft.com/office/drawing/2014/main" id="{2BC7E184-AF02-453D-B3C4-A21E63856F1D}"/>
              </a:ext>
            </a:extLst>
          </xdr:cNvPr>
          <xdr:cNvGrpSpPr/>
        </xdr:nvGrpSpPr>
        <xdr:grpSpPr>
          <a:xfrm>
            <a:off x="296744" y="1858034"/>
            <a:ext cx="2400227" cy="1139249"/>
            <a:chOff x="166361" y="1158606"/>
            <a:chExt cx="2348239" cy="1084892"/>
          </a:xfrm>
        </xdr:grpSpPr>
        <xdr:sp macro="" textlink="currentStocks">
          <xdr:nvSpPr>
            <xdr:cNvPr id="31" name="Rectangle 30">
              <a:extLst>
                <a:ext uri="{FF2B5EF4-FFF2-40B4-BE49-F238E27FC236}">
                  <a16:creationId xmlns:a16="http://schemas.microsoft.com/office/drawing/2014/main" id="{A214AD2A-937E-4D0B-9802-BB49017B848D}"/>
                </a:ext>
              </a:extLst>
            </xdr:cNvPr>
            <xdr:cNvSpPr/>
          </xdr:nvSpPr>
          <xdr:spPr>
            <a:xfrm>
              <a:off x="166361" y="1505015"/>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fld id="{64DCC796-EC1A-4E41-AF63-0BBF98A352CB}" type="TxLink">
                <a:rPr lang="en-US" sz="2800" b="1" i="0" u="none" strike="noStrike">
                  <a:solidFill>
                    <a:schemeClr val="accent5">
                      <a:lumMod val="75000"/>
                    </a:schemeClr>
                  </a:solidFill>
                  <a:latin typeface="Century Gothic" panose="020B0502020202020204" pitchFamily="34" charset="0"/>
                  <a:cs typeface="Calibri"/>
                </a:rPr>
                <a:pPr algn="ctr"/>
                <a:t>252 Unit(s)</a:t>
              </a:fld>
              <a:endParaRPr lang="en-US" sz="6000" b="1">
                <a:solidFill>
                  <a:schemeClr val="accent5">
                    <a:lumMod val="75000"/>
                  </a:schemeClr>
                </a:solidFill>
                <a:latin typeface="Century Gothic" panose="020B0502020202020204" pitchFamily="34" charset="0"/>
                <a:cs typeface="Arial" panose="020B0604020202020204" pitchFamily="34" charset="0"/>
              </a:endParaRPr>
            </a:p>
          </xdr:txBody>
        </xdr:sp>
        <xdr:sp macro="" textlink="">
          <xdr:nvSpPr>
            <xdr:cNvPr id="32" name="Rectangle 31">
              <a:extLst>
                <a:ext uri="{FF2B5EF4-FFF2-40B4-BE49-F238E27FC236}">
                  <a16:creationId xmlns:a16="http://schemas.microsoft.com/office/drawing/2014/main" id="{E1747C5B-D35E-479A-B9BD-6B86486A92D3}"/>
                </a:ext>
              </a:extLst>
            </xdr:cNvPr>
            <xdr:cNvSpPr/>
          </xdr:nvSpPr>
          <xdr:spPr>
            <a:xfrm>
              <a:off x="166361" y="1158606"/>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latin typeface="Century Gothic" panose="020B0502020202020204" pitchFamily="34" charset="0"/>
                </a:rPr>
                <a:t>Current Stock</a:t>
              </a:r>
            </a:p>
          </xdr:txBody>
        </xdr:sp>
      </xdr:grpSp>
      <xdr:grpSp>
        <xdr:nvGrpSpPr>
          <xdr:cNvPr id="20" name="Group 19">
            <a:extLst>
              <a:ext uri="{FF2B5EF4-FFF2-40B4-BE49-F238E27FC236}">
                <a16:creationId xmlns:a16="http://schemas.microsoft.com/office/drawing/2014/main" id="{09EDF712-E39E-4D46-AA56-5503C5B1140D}"/>
              </a:ext>
            </a:extLst>
          </xdr:cNvPr>
          <xdr:cNvGrpSpPr/>
        </xdr:nvGrpSpPr>
        <xdr:grpSpPr>
          <a:xfrm>
            <a:off x="295753" y="3040345"/>
            <a:ext cx="2400226" cy="1139248"/>
            <a:chOff x="166361" y="2313775"/>
            <a:chExt cx="2348239" cy="1084891"/>
          </a:xfrm>
        </xdr:grpSpPr>
        <xdr:sp macro="" textlink="currentStocksValue">
          <xdr:nvSpPr>
            <xdr:cNvPr id="29" name="Rectangle 28">
              <a:extLst>
                <a:ext uri="{FF2B5EF4-FFF2-40B4-BE49-F238E27FC236}">
                  <a16:creationId xmlns:a16="http://schemas.microsoft.com/office/drawing/2014/main" id="{4A717038-BC82-48BF-BAC3-1BC9445EDB10}"/>
                </a:ext>
              </a:extLst>
            </xdr:cNvPr>
            <xdr:cNvSpPr/>
          </xdr:nvSpPr>
          <xdr:spPr>
            <a:xfrm>
              <a:off x="166361" y="2660183"/>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fld id="{F4A6CF44-7AF3-4DFF-9A6B-7E776A7FC634}" type="TxLink">
                <a:rPr lang="en-US" sz="2800" b="1" i="0" u="none" strike="noStrike">
                  <a:solidFill>
                    <a:schemeClr val="accent5">
                      <a:lumMod val="75000"/>
                    </a:schemeClr>
                  </a:solidFill>
                  <a:latin typeface="Century Gothic" panose="020B0502020202020204" pitchFamily="34" charset="0"/>
                  <a:cs typeface="Calibri"/>
                </a:rPr>
                <a:pPr algn="ctr"/>
                <a:t> $33,470.00 </a:t>
              </a:fld>
              <a:endParaRPr lang="en-US" sz="6000" b="1">
                <a:solidFill>
                  <a:schemeClr val="accent5">
                    <a:lumMod val="75000"/>
                  </a:schemeClr>
                </a:solidFill>
                <a:latin typeface="Century Gothic" panose="020B0502020202020204" pitchFamily="34" charset="0"/>
                <a:cs typeface="Arial" panose="020B0604020202020204" pitchFamily="34" charset="0"/>
              </a:endParaRPr>
            </a:p>
          </xdr:txBody>
        </xdr:sp>
        <xdr:sp macro="" textlink="">
          <xdr:nvSpPr>
            <xdr:cNvPr id="30" name="Rectangle 29">
              <a:extLst>
                <a:ext uri="{FF2B5EF4-FFF2-40B4-BE49-F238E27FC236}">
                  <a16:creationId xmlns:a16="http://schemas.microsoft.com/office/drawing/2014/main" id="{699BF0BC-2856-44E4-A9A5-A4E396A94BB7}"/>
                </a:ext>
              </a:extLst>
            </xdr:cNvPr>
            <xdr:cNvSpPr/>
          </xdr:nvSpPr>
          <xdr:spPr>
            <a:xfrm>
              <a:off x="166361" y="2313775"/>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latin typeface="Century Gothic" panose="020B0502020202020204" pitchFamily="34" charset="0"/>
                </a:rPr>
                <a:t>Stock Value</a:t>
              </a:r>
            </a:p>
          </xdr:txBody>
        </xdr:sp>
      </xdr:grpSp>
      <xdr:grpSp>
        <xdr:nvGrpSpPr>
          <xdr:cNvPr id="21" name="Group 20">
            <a:extLst>
              <a:ext uri="{FF2B5EF4-FFF2-40B4-BE49-F238E27FC236}">
                <a16:creationId xmlns:a16="http://schemas.microsoft.com/office/drawing/2014/main" id="{2A1B8423-D721-4898-BD98-71664E798A51}"/>
              </a:ext>
            </a:extLst>
          </xdr:cNvPr>
          <xdr:cNvGrpSpPr/>
        </xdr:nvGrpSpPr>
        <xdr:grpSpPr>
          <a:xfrm>
            <a:off x="294761" y="4211983"/>
            <a:ext cx="2405487" cy="1139249"/>
            <a:chOff x="166361" y="3479064"/>
            <a:chExt cx="2348239" cy="1084892"/>
          </a:xfrm>
        </xdr:grpSpPr>
        <xdr:sp macro="" textlink="stockin">
          <xdr:nvSpPr>
            <xdr:cNvPr id="27" name="Rectangle 26">
              <a:extLst>
                <a:ext uri="{FF2B5EF4-FFF2-40B4-BE49-F238E27FC236}">
                  <a16:creationId xmlns:a16="http://schemas.microsoft.com/office/drawing/2014/main" id="{37DC4AE9-8DBB-41D8-9AE2-C815D273CADF}"/>
                </a:ext>
              </a:extLst>
            </xdr:cNvPr>
            <xdr:cNvSpPr/>
          </xdr:nvSpPr>
          <xdr:spPr>
            <a:xfrm>
              <a:off x="166361" y="3825473"/>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fld id="{864006B7-B22C-4EF5-80A0-75FC829975F0}" type="TxLink">
                <a:rPr lang="en-US" sz="2800" b="1" i="0" u="none" strike="noStrike">
                  <a:solidFill>
                    <a:schemeClr val="accent5">
                      <a:lumMod val="75000"/>
                    </a:schemeClr>
                  </a:solidFill>
                  <a:latin typeface="Century Gothic" panose="020B0502020202020204" pitchFamily="34" charset="0"/>
                  <a:cs typeface="Calibri"/>
                </a:rPr>
                <a:pPr algn="ctr"/>
                <a:t>1145 Unit(s)</a:t>
              </a:fld>
              <a:endParaRPr lang="en-US" sz="6000" b="1">
                <a:solidFill>
                  <a:schemeClr val="accent5">
                    <a:lumMod val="75000"/>
                  </a:schemeClr>
                </a:solidFill>
                <a:latin typeface="Century Gothic" panose="020B0502020202020204" pitchFamily="34" charset="0"/>
                <a:cs typeface="Arial" panose="020B0604020202020204" pitchFamily="34" charset="0"/>
              </a:endParaRPr>
            </a:p>
          </xdr:txBody>
        </xdr:sp>
        <xdr:sp macro="" textlink="">
          <xdr:nvSpPr>
            <xdr:cNvPr id="28" name="Rectangle 27">
              <a:extLst>
                <a:ext uri="{FF2B5EF4-FFF2-40B4-BE49-F238E27FC236}">
                  <a16:creationId xmlns:a16="http://schemas.microsoft.com/office/drawing/2014/main" id="{275E7B1E-B9A7-4734-852A-6832E3FF292A}"/>
                </a:ext>
              </a:extLst>
            </xdr:cNvPr>
            <xdr:cNvSpPr/>
          </xdr:nvSpPr>
          <xdr:spPr>
            <a:xfrm>
              <a:off x="166361" y="3479064"/>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1">
                  <a:latin typeface="Century Gothic" panose="020B0502020202020204" pitchFamily="34" charset="0"/>
                </a:rPr>
                <a:t>Current</a:t>
              </a:r>
              <a:r>
                <a:rPr lang="en-US" sz="1400" b="1" baseline="0">
                  <a:latin typeface="Century Gothic" panose="020B0502020202020204" pitchFamily="34" charset="0"/>
                </a:rPr>
                <a:t> Month </a:t>
              </a:r>
              <a:r>
                <a:rPr lang="en-US" sz="1400" b="1">
                  <a:latin typeface="Century Gothic" panose="020B0502020202020204" pitchFamily="34" charset="0"/>
                </a:rPr>
                <a:t>Stock In</a:t>
              </a:r>
            </a:p>
          </xdr:txBody>
        </xdr:sp>
      </xdr:grpSp>
      <xdr:grpSp>
        <xdr:nvGrpSpPr>
          <xdr:cNvPr id="22" name="Group 21">
            <a:extLst>
              <a:ext uri="{FF2B5EF4-FFF2-40B4-BE49-F238E27FC236}">
                <a16:creationId xmlns:a16="http://schemas.microsoft.com/office/drawing/2014/main" id="{B473C774-14F4-4C6B-A3B6-5817A1F3232B}"/>
              </a:ext>
            </a:extLst>
          </xdr:cNvPr>
          <xdr:cNvGrpSpPr/>
        </xdr:nvGrpSpPr>
        <xdr:grpSpPr>
          <a:xfrm>
            <a:off x="293769" y="5395071"/>
            <a:ext cx="2405487" cy="1139248"/>
            <a:chOff x="166361" y="4654861"/>
            <a:chExt cx="2348239" cy="1084891"/>
          </a:xfrm>
        </xdr:grpSpPr>
        <xdr:sp macro="" textlink="StocksOut">
          <xdr:nvSpPr>
            <xdr:cNvPr id="23" name="Rectangle 22">
              <a:extLst>
                <a:ext uri="{FF2B5EF4-FFF2-40B4-BE49-F238E27FC236}">
                  <a16:creationId xmlns:a16="http://schemas.microsoft.com/office/drawing/2014/main" id="{5F6135A2-B4E8-4A53-8B82-429CB590E606}"/>
                </a:ext>
              </a:extLst>
            </xdr:cNvPr>
            <xdr:cNvSpPr/>
          </xdr:nvSpPr>
          <xdr:spPr>
            <a:xfrm>
              <a:off x="166361" y="5001269"/>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p>
              <a:pPr algn="ctr"/>
              <a:fld id="{52043287-98D2-45A9-86A9-068C615C1DE9}" type="TxLink">
                <a:rPr lang="en-US" sz="2800" b="1" i="0" u="none" strike="noStrike">
                  <a:solidFill>
                    <a:schemeClr val="accent5">
                      <a:lumMod val="75000"/>
                    </a:schemeClr>
                  </a:solidFill>
                  <a:latin typeface="Century Gothic" panose="020B0502020202020204" pitchFamily="34" charset="0"/>
                  <a:cs typeface="Calibri"/>
                </a:rPr>
                <a:pPr algn="ctr"/>
                <a:t>109 Unit(s)</a:t>
              </a:fld>
              <a:endParaRPr lang="en-US" sz="6000" b="1">
                <a:solidFill>
                  <a:schemeClr val="accent5">
                    <a:lumMod val="75000"/>
                  </a:schemeClr>
                </a:solidFill>
                <a:latin typeface="Century Gothic" panose="020B0502020202020204" pitchFamily="34" charset="0"/>
                <a:cs typeface="Arial" panose="020B0604020202020204" pitchFamily="34" charset="0"/>
              </a:endParaRPr>
            </a:p>
          </xdr:txBody>
        </xdr:sp>
        <xdr:sp macro="" textlink="">
          <xdr:nvSpPr>
            <xdr:cNvPr id="26" name="Rectangle 25">
              <a:extLst>
                <a:ext uri="{FF2B5EF4-FFF2-40B4-BE49-F238E27FC236}">
                  <a16:creationId xmlns:a16="http://schemas.microsoft.com/office/drawing/2014/main" id="{CDA244BE-E56D-4D2A-B9C5-07A93CAF817B}"/>
                </a:ext>
              </a:extLst>
            </xdr:cNvPr>
            <xdr:cNvSpPr/>
          </xdr:nvSpPr>
          <xdr:spPr>
            <a:xfrm>
              <a:off x="166361" y="4654861"/>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b="1" kern="1200">
                  <a:solidFill>
                    <a:schemeClr val="lt1"/>
                  </a:solidFill>
                  <a:effectLst/>
                  <a:latin typeface="Century Gothic" panose="020B0502020202020204" pitchFamily="34" charset="0"/>
                  <a:ea typeface="+mn-ea"/>
                  <a:cs typeface="+mn-cs"/>
                </a:rPr>
                <a:t>Current</a:t>
              </a:r>
              <a:r>
                <a:rPr lang="en-US" sz="1400" b="1" kern="1200" baseline="0">
                  <a:solidFill>
                    <a:schemeClr val="lt1"/>
                  </a:solidFill>
                  <a:effectLst/>
                  <a:latin typeface="Century Gothic" panose="020B0502020202020204" pitchFamily="34" charset="0"/>
                  <a:ea typeface="+mn-ea"/>
                  <a:cs typeface="+mn-cs"/>
                </a:rPr>
                <a:t> Month </a:t>
              </a:r>
              <a:r>
                <a:rPr lang="en-US" sz="1400" b="1" kern="1200">
                  <a:solidFill>
                    <a:schemeClr val="lt1"/>
                  </a:solidFill>
                  <a:effectLst/>
                  <a:latin typeface="Century Gothic" panose="020B0502020202020204" pitchFamily="34" charset="0"/>
                  <a:ea typeface="+mn-ea"/>
                  <a:cs typeface="+mn-cs"/>
                </a:rPr>
                <a:t>Stock Out</a:t>
              </a:r>
              <a:endParaRPr lang="en-US" sz="1400">
                <a:effectLst/>
                <a:latin typeface="Century Gothic" panose="020B0502020202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608933</xdr:colOff>
      <xdr:row>4</xdr:row>
      <xdr:rowOff>165693</xdr:rowOff>
    </xdr:from>
    <xdr:to>
      <xdr:col>20</xdr:col>
      <xdr:colOff>0</xdr:colOff>
      <xdr:row>15</xdr:row>
      <xdr:rowOff>173313</xdr:rowOff>
    </xdr:to>
    <xdr:grpSp>
      <xdr:nvGrpSpPr>
        <xdr:cNvPr id="2" name="Group 1">
          <a:extLst>
            <a:ext uri="{FF2B5EF4-FFF2-40B4-BE49-F238E27FC236}">
              <a16:creationId xmlns:a16="http://schemas.microsoft.com/office/drawing/2014/main" id="{30EF3D5A-FFCC-4538-965C-0ECE14C71988}"/>
            </a:ext>
          </a:extLst>
        </xdr:cNvPr>
        <xdr:cNvGrpSpPr/>
      </xdr:nvGrpSpPr>
      <xdr:grpSpPr>
        <a:xfrm>
          <a:off x="2437733" y="927693"/>
          <a:ext cx="9278017" cy="2103120"/>
          <a:chOff x="2449447" y="762000"/>
          <a:chExt cx="9320732" cy="2103120"/>
        </a:xfrm>
      </xdr:grpSpPr>
      <xdr:graphicFrame macro="">
        <xdr:nvGraphicFramePr>
          <xdr:cNvPr id="21" name="Chart 20">
            <a:extLst>
              <a:ext uri="{FF2B5EF4-FFF2-40B4-BE49-F238E27FC236}">
                <a16:creationId xmlns:a16="http://schemas.microsoft.com/office/drawing/2014/main" id="{BC2D85FC-CF63-4132-A6F7-86407FD8F36F}"/>
              </a:ext>
            </a:extLst>
          </xdr:cNvPr>
          <xdr:cNvGraphicFramePr>
            <a:graphicFrameLocks noChangeAspect="1"/>
          </xdr:cNvGraphicFramePr>
        </xdr:nvGraphicFramePr>
        <xdr:xfrm>
          <a:off x="2449447" y="762000"/>
          <a:ext cx="3348347" cy="210312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354ED043-FECF-4415-8976-71438AF7C272}"/>
              </a:ext>
            </a:extLst>
          </xdr:cNvPr>
          <xdr:cNvGraphicFramePr>
            <a:graphicFrameLocks noChangeAspect="1"/>
          </xdr:cNvGraphicFramePr>
        </xdr:nvGraphicFramePr>
        <xdr:xfrm>
          <a:off x="4389578" y="762000"/>
          <a:ext cx="3558536" cy="210312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8D200DA7-1458-4F7A-8C45-384C4B9943C3}"/>
              </a:ext>
            </a:extLst>
          </xdr:cNvPr>
          <xdr:cNvGraphicFramePr>
            <a:graphicFrameLocks noChangeAspect="1"/>
          </xdr:cNvGraphicFramePr>
        </xdr:nvGraphicFramePr>
        <xdr:xfrm>
          <a:off x="8979725" y="762000"/>
          <a:ext cx="2790454" cy="210312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887A3784-8D5D-4F49-8201-F5715403B960}"/>
              </a:ext>
            </a:extLst>
          </xdr:cNvPr>
          <xdr:cNvGraphicFramePr>
            <a:graphicFrameLocks noChangeAspect="1"/>
          </xdr:cNvGraphicFramePr>
        </xdr:nvGraphicFramePr>
        <xdr:xfrm>
          <a:off x="6689604" y="762000"/>
          <a:ext cx="3561259" cy="210312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0</xdr:col>
      <xdr:colOff>176894</xdr:colOff>
      <xdr:row>1</xdr:row>
      <xdr:rowOff>4546</xdr:rowOff>
    </xdr:from>
    <xdr:to>
      <xdr:col>18</xdr:col>
      <xdr:colOff>514350</xdr:colOff>
      <xdr:row>3</xdr:row>
      <xdr:rowOff>144876</xdr:rowOff>
    </xdr:to>
    <xdr:sp macro="" textlink="">
      <xdr:nvSpPr>
        <xdr:cNvPr id="30" name="Rectangle 29">
          <a:extLst>
            <a:ext uri="{FF2B5EF4-FFF2-40B4-BE49-F238E27FC236}">
              <a16:creationId xmlns:a16="http://schemas.microsoft.com/office/drawing/2014/main" id="{00000000-0008-0000-0400-00001E000000}"/>
            </a:ext>
          </a:extLst>
        </xdr:cNvPr>
        <xdr:cNvSpPr/>
      </xdr:nvSpPr>
      <xdr:spPr>
        <a:xfrm>
          <a:off x="176894" y="195046"/>
          <a:ext cx="11310256" cy="521330"/>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3200" b="1">
              <a:solidFill>
                <a:schemeClr val="bg2">
                  <a:lumMod val="50000"/>
                </a:schemeClr>
              </a:solidFill>
              <a:latin typeface="Arial" panose="020B0604020202020204" pitchFamily="34" charset="0"/>
              <a:cs typeface="Arial" panose="020B0604020202020204" pitchFamily="34" charset="0"/>
            </a:rPr>
            <a:t>INVENTORY MANAGEMENT DASHBOARD</a:t>
          </a:r>
        </a:p>
      </xdr:txBody>
    </xdr:sp>
    <xdr:clientData/>
  </xdr:twoCellAnchor>
  <xdr:twoCellAnchor>
    <xdr:from>
      <xdr:col>0</xdr:col>
      <xdr:colOff>64820</xdr:colOff>
      <xdr:row>0</xdr:row>
      <xdr:rowOff>114794</xdr:rowOff>
    </xdr:from>
    <xdr:to>
      <xdr:col>19</xdr:col>
      <xdr:colOff>19051</xdr:colOff>
      <xdr:row>36</xdr:row>
      <xdr:rowOff>106135</xdr:rowOff>
    </xdr:to>
    <xdr:sp macro="" textlink="">
      <xdr:nvSpPr>
        <xdr:cNvPr id="4" name="Rectangle 3">
          <a:extLst>
            <a:ext uri="{FF2B5EF4-FFF2-40B4-BE49-F238E27FC236}">
              <a16:creationId xmlns:a16="http://schemas.microsoft.com/office/drawing/2014/main" id="{16CBBD8C-0964-44FA-A8FA-335345A2A11B}"/>
            </a:ext>
          </a:extLst>
        </xdr:cNvPr>
        <xdr:cNvSpPr/>
      </xdr:nvSpPr>
      <xdr:spPr>
        <a:xfrm>
          <a:off x="64820" y="114794"/>
          <a:ext cx="12056584" cy="6849341"/>
        </a:xfrm>
        <a:prstGeom prst="rect">
          <a:avLst/>
        </a:prstGeom>
        <a:noFill/>
        <a:ln w="76200">
          <a:solidFill>
            <a:schemeClr val="accent5">
              <a:lumMod val="75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169619</xdr:colOff>
      <xdr:row>12</xdr:row>
      <xdr:rowOff>92409</xdr:rowOff>
    </xdr:from>
    <xdr:to>
      <xdr:col>4</xdr:col>
      <xdr:colOff>418738</xdr:colOff>
      <xdr:row>35</xdr:row>
      <xdr:rowOff>183198</xdr:rowOff>
    </xdr:to>
    <xdr:grpSp>
      <xdr:nvGrpSpPr>
        <xdr:cNvPr id="11" name="Group 10">
          <a:extLst>
            <a:ext uri="{FF2B5EF4-FFF2-40B4-BE49-F238E27FC236}">
              <a16:creationId xmlns:a16="http://schemas.microsoft.com/office/drawing/2014/main" id="{3C90A35A-0C85-4A34-A7BB-0C814B2C3411}"/>
            </a:ext>
          </a:extLst>
        </xdr:cNvPr>
        <xdr:cNvGrpSpPr/>
      </xdr:nvGrpSpPr>
      <xdr:grpSpPr>
        <a:xfrm>
          <a:off x="169619" y="2378409"/>
          <a:ext cx="2687519" cy="4519914"/>
          <a:chOff x="2563557" y="785512"/>
          <a:chExt cx="2330199" cy="4472289"/>
        </a:xfrm>
      </xdr:grpSpPr>
      <xdr:grpSp>
        <xdr:nvGrpSpPr>
          <xdr:cNvPr id="3" name="Group 2">
            <a:extLst>
              <a:ext uri="{FF2B5EF4-FFF2-40B4-BE49-F238E27FC236}">
                <a16:creationId xmlns:a16="http://schemas.microsoft.com/office/drawing/2014/main" id="{1AFB5C40-8FC0-4420-81F2-662A4F361BDC}"/>
              </a:ext>
            </a:extLst>
          </xdr:cNvPr>
          <xdr:cNvGrpSpPr/>
        </xdr:nvGrpSpPr>
        <xdr:grpSpPr>
          <a:xfrm>
            <a:off x="2575209" y="785512"/>
            <a:ext cx="2318547" cy="1084892"/>
            <a:chOff x="166361" y="1152903"/>
            <a:chExt cx="2348239" cy="1084892"/>
          </a:xfrm>
        </xdr:grpSpPr>
        <xdr:sp macro="" textlink="stocksleft">
          <xdr:nvSpPr>
            <xdr:cNvPr id="45" name="Rectangle 44">
              <a:extLst>
                <a:ext uri="{FF2B5EF4-FFF2-40B4-BE49-F238E27FC236}">
                  <a16:creationId xmlns:a16="http://schemas.microsoft.com/office/drawing/2014/main" id="{00000000-0008-0000-0400-00002D000000}"/>
                </a:ext>
              </a:extLst>
            </xdr:cNvPr>
            <xdr:cNvSpPr/>
          </xdr:nvSpPr>
          <xdr:spPr>
            <a:xfrm>
              <a:off x="166361" y="1499312"/>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fld id="{1DA5868E-D2FC-4D43-B19C-88DF53DE073D}" type="TxLink">
                <a:rPr lang="en-US" sz="3200" b="0" i="0" u="none" strike="noStrike">
                  <a:solidFill>
                    <a:schemeClr val="accent1">
                      <a:lumMod val="75000"/>
                    </a:schemeClr>
                  </a:solidFill>
                  <a:latin typeface="Century Gothic" panose="020B0502020202020204" pitchFamily="34" charset="0"/>
                  <a:cs typeface="Arial" panose="020B0604020202020204" pitchFamily="34" charset="0"/>
                </a:rPr>
                <a:pPr algn="ctr"/>
                <a:t>252 Unit(s)</a:t>
              </a:fld>
              <a:endParaRPr lang="en-US" sz="3200">
                <a:solidFill>
                  <a:schemeClr val="accent1">
                    <a:lumMod val="75000"/>
                  </a:schemeClr>
                </a:solidFill>
                <a:latin typeface="Century Gothic" panose="020B0502020202020204" pitchFamily="34" charset="0"/>
                <a:cs typeface="Arial" panose="020B0604020202020204" pitchFamily="34" charset="0"/>
              </a:endParaRPr>
            </a:p>
          </xdr:txBody>
        </xdr:sp>
        <xdr:sp macro="" textlink="">
          <xdr:nvSpPr>
            <xdr:cNvPr id="46" name="Rectangle 45">
              <a:extLst>
                <a:ext uri="{FF2B5EF4-FFF2-40B4-BE49-F238E27FC236}">
                  <a16:creationId xmlns:a16="http://schemas.microsoft.com/office/drawing/2014/main" id="{00000000-0008-0000-0400-00002E000000}"/>
                </a:ext>
              </a:extLst>
            </xdr:cNvPr>
            <xdr:cNvSpPr/>
          </xdr:nvSpPr>
          <xdr:spPr>
            <a:xfrm>
              <a:off x="166361" y="1152903"/>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latin typeface="Century Gothic" panose="020B0502020202020204" pitchFamily="34" charset="0"/>
                </a:rPr>
                <a:t>Current Stock</a:t>
              </a:r>
            </a:p>
          </xdr:txBody>
        </xdr:sp>
      </xdr:grpSp>
      <xdr:grpSp>
        <xdr:nvGrpSpPr>
          <xdr:cNvPr id="5" name="Group 4">
            <a:extLst>
              <a:ext uri="{FF2B5EF4-FFF2-40B4-BE49-F238E27FC236}">
                <a16:creationId xmlns:a16="http://schemas.microsoft.com/office/drawing/2014/main" id="{A276A203-13A3-4C83-9857-FF7CB02D994D}"/>
              </a:ext>
            </a:extLst>
          </xdr:cNvPr>
          <xdr:cNvGrpSpPr/>
        </xdr:nvGrpSpPr>
        <xdr:grpSpPr>
          <a:xfrm>
            <a:off x="2571326" y="1913467"/>
            <a:ext cx="2318546" cy="1084891"/>
            <a:chOff x="166361" y="2308072"/>
            <a:chExt cx="2348239" cy="1084891"/>
          </a:xfrm>
        </xdr:grpSpPr>
        <xdr:sp macro="" textlink="stocksvalue">
          <xdr:nvSpPr>
            <xdr:cNvPr id="47" name="Rectangle 46">
              <a:extLst>
                <a:ext uri="{FF2B5EF4-FFF2-40B4-BE49-F238E27FC236}">
                  <a16:creationId xmlns:a16="http://schemas.microsoft.com/office/drawing/2014/main" id="{00000000-0008-0000-0400-00002F000000}"/>
                </a:ext>
              </a:extLst>
            </xdr:cNvPr>
            <xdr:cNvSpPr/>
          </xdr:nvSpPr>
          <xdr:spPr>
            <a:xfrm>
              <a:off x="166361" y="2654480"/>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fld id="{2BD1AEC0-E8BA-4FCC-AE37-2E041DE03EE8}" type="TxLink">
                <a:rPr lang="en-US" sz="3200" b="0" i="0" u="none" strike="noStrike">
                  <a:solidFill>
                    <a:schemeClr val="accent1">
                      <a:lumMod val="75000"/>
                    </a:schemeClr>
                  </a:solidFill>
                  <a:latin typeface="Century Gothic" panose="020B0502020202020204" pitchFamily="34" charset="0"/>
                  <a:cs typeface="Arial" panose="020B0604020202020204" pitchFamily="34" charset="0"/>
                </a:rPr>
                <a:pPr algn="ctr"/>
                <a:t> $33,470.00 </a:t>
              </a:fld>
              <a:endParaRPr lang="en-US" sz="3200">
                <a:solidFill>
                  <a:schemeClr val="accent1">
                    <a:lumMod val="75000"/>
                  </a:schemeClr>
                </a:solidFill>
                <a:latin typeface="Century Gothic" panose="020B0502020202020204" pitchFamily="34" charset="0"/>
                <a:cs typeface="Arial" panose="020B0604020202020204" pitchFamily="34" charset="0"/>
              </a:endParaRPr>
            </a:p>
          </xdr:txBody>
        </xdr:sp>
        <xdr:sp macro="" textlink="">
          <xdr:nvSpPr>
            <xdr:cNvPr id="48" name="Rectangle 47">
              <a:extLst>
                <a:ext uri="{FF2B5EF4-FFF2-40B4-BE49-F238E27FC236}">
                  <a16:creationId xmlns:a16="http://schemas.microsoft.com/office/drawing/2014/main" id="{00000000-0008-0000-0400-000030000000}"/>
                </a:ext>
              </a:extLst>
            </xdr:cNvPr>
            <xdr:cNvSpPr/>
          </xdr:nvSpPr>
          <xdr:spPr>
            <a:xfrm>
              <a:off x="166361" y="2308072"/>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1">
                  <a:latin typeface="Century Gothic" panose="020B0502020202020204" pitchFamily="34" charset="0"/>
                </a:rPr>
                <a:t>Stock Value</a:t>
              </a:r>
            </a:p>
          </xdr:txBody>
        </xdr:sp>
      </xdr:grpSp>
      <xdr:grpSp>
        <xdr:nvGrpSpPr>
          <xdr:cNvPr id="6" name="Group 5">
            <a:extLst>
              <a:ext uri="{FF2B5EF4-FFF2-40B4-BE49-F238E27FC236}">
                <a16:creationId xmlns:a16="http://schemas.microsoft.com/office/drawing/2014/main" id="{51782D51-8393-43AE-8EF7-53C61313BC50}"/>
              </a:ext>
            </a:extLst>
          </xdr:cNvPr>
          <xdr:cNvGrpSpPr/>
        </xdr:nvGrpSpPr>
        <xdr:grpSpPr>
          <a:xfrm>
            <a:off x="2564739" y="3044215"/>
            <a:ext cx="2323652" cy="1084892"/>
            <a:chOff x="166361" y="3473361"/>
            <a:chExt cx="2348239" cy="1084892"/>
          </a:xfrm>
        </xdr:grpSpPr>
        <xdr:sp macro="" textlink="stockin">
          <xdr:nvSpPr>
            <xdr:cNvPr id="49" name="Rectangle 48">
              <a:extLst>
                <a:ext uri="{FF2B5EF4-FFF2-40B4-BE49-F238E27FC236}">
                  <a16:creationId xmlns:a16="http://schemas.microsoft.com/office/drawing/2014/main" id="{00000000-0008-0000-0400-000031000000}"/>
                </a:ext>
              </a:extLst>
            </xdr:cNvPr>
            <xdr:cNvSpPr/>
          </xdr:nvSpPr>
          <xdr:spPr>
            <a:xfrm>
              <a:off x="166361" y="3819770"/>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fld id="{C14DB32A-7C59-4AC7-BFA4-E4E791363F19}" type="TxLink">
                <a:rPr lang="en-US" sz="3200" b="0" i="0" u="none" strike="noStrike">
                  <a:solidFill>
                    <a:schemeClr val="accent1">
                      <a:lumMod val="75000"/>
                    </a:schemeClr>
                  </a:solidFill>
                  <a:latin typeface="Century Gothic" panose="020B0502020202020204" pitchFamily="34" charset="0"/>
                  <a:cs typeface="Calibri"/>
                </a:rPr>
                <a:pPr algn="ctr"/>
                <a:t>1145 Unit(s)</a:t>
              </a:fld>
              <a:endParaRPr lang="en-US" sz="3200">
                <a:solidFill>
                  <a:schemeClr val="accent1">
                    <a:lumMod val="75000"/>
                  </a:schemeClr>
                </a:solidFill>
                <a:latin typeface="Century Gothic" panose="020B0502020202020204" pitchFamily="34" charset="0"/>
                <a:cs typeface="Arial" panose="020B0604020202020204" pitchFamily="34" charset="0"/>
              </a:endParaRPr>
            </a:p>
          </xdr:txBody>
        </xdr:sp>
        <xdr:sp macro="" textlink="">
          <xdr:nvSpPr>
            <xdr:cNvPr id="50" name="Rectangle 49">
              <a:extLst>
                <a:ext uri="{FF2B5EF4-FFF2-40B4-BE49-F238E27FC236}">
                  <a16:creationId xmlns:a16="http://schemas.microsoft.com/office/drawing/2014/main" id="{00000000-0008-0000-0400-000032000000}"/>
                </a:ext>
              </a:extLst>
            </xdr:cNvPr>
            <xdr:cNvSpPr/>
          </xdr:nvSpPr>
          <xdr:spPr>
            <a:xfrm>
              <a:off x="166361" y="3473361"/>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800" b="1">
                  <a:latin typeface="Century Gothic" panose="020B0502020202020204" pitchFamily="34" charset="0"/>
                </a:rPr>
                <a:t>Stock In</a:t>
              </a:r>
            </a:p>
          </xdr:txBody>
        </xdr:sp>
      </xdr:grpSp>
      <xdr:grpSp>
        <xdr:nvGrpSpPr>
          <xdr:cNvPr id="7" name="Group 6">
            <a:extLst>
              <a:ext uri="{FF2B5EF4-FFF2-40B4-BE49-F238E27FC236}">
                <a16:creationId xmlns:a16="http://schemas.microsoft.com/office/drawing/2014/main" id="{90D81769-1712-46C8-8ED5-43DAAA6758AE}"/>
              </a:ext>
            </a:extLst>
          </xdr:cNvPr>
          <xdr:cNvGrpSpPr/>
        </xdr:nvGrpSpPr>
        <xdr:grpSpPr>
          <a:xfrm>
            <a:off x="2563557" y="4172910"/>
            <a:ext cx="2323652" cy="1084891"/>
            <a:chOff x="166361" y="4649158"/>
            <a:chExt cx="2348239" cy="1084891"/>
          </a:xfrm>
        </xdr:grpSpPr>
        <xdr:sp macro="" textlink="stockout">
          <xdr:nvSpPr>
            <xdr:cNvPr id="51" name="Rectangle 50">
              <a:extLst>
                <a:ext uri="{FF2B5EF4-FFF2-40B4-BE49-F238E27FC236}">
                  <a16:creationId xmlns:a16="http://schemas.microsoft.com/office/drawing/2014/main" id="{00000000-0008-0000-0400-000033000000}"/>
                </a:ext>
              </a:extLst>
            </xdr:cNvPr>
            <xdr:cNvSpPr/>
          </xdr:nvSpPr>
          <xdr:spPr>
            <a:xfrm>
              <a:off x="166361" y="4995566"/>
              <a:ext cx="2348239" cy="738483"/>
            </a:xfrm>
            <a:prstGeom prst="rect">
              <a:avLst/>
            </a:prstGeom>
            <a:ln w="19050">
              <a:solidFill>
                <a:schemeClr val="accent5">
                  <a:lumMod val="75000"/>
                </a:schemeClr>
              </a:solidFill>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fld id="{33535F7D-C900-4FA6-B2CD-53213A6B97C9}" type="TxLink">
                <a:rPr lang="en-US" sz="3200" b="0" i="0" u="none" strike="noStrike">
                  <a:solidFill>
                    <a:schemeClr val="accent1">
                      <a:lumMod val="75000"/>
                    </a:schemeClr>
                  </a:solidFill>
                  <a:latin typeface="Century Gothic" panose="020B0502020202020204" pitchFamily="34" charset="0"/>
                  <a:cs typeface="Calibri"/>
                </a:rPr>
                <a:pPr algn="ctr"/>
                <a:t>893 Unit(s)</a:t>
              </a:fld>
              <a:endParaRPr lang="en-US" sz="3200">
                <a:solidFill>
                  <a:schemeClr val="accent1">
                    <a:lumMod val="75000"/>
                  </a:schemeClr>
                </a:solidFill>
                <a:latin typeface="Century Gothic" panose="020B0502020202020204" pitchFamily="34" charset="0"/>
                <a:cs typeface="Arial" panose="020B0604020202020204" pitchFamily="34" charset="0"/>
              </a:endParaRPr>
            </a:p>
          </xdr:txBody>
        </xdr:sp>
        <xdr:sp macro="" textlink="">
          <xdr:nvSpPr>
            <xdr:cNvPr id="52" name="Rectangle 51">
              <a:extLst>
                <a:ext uri="{FF2B5EF4-FFF2-40B4-BE49-F238E27FC236}">
                  <a16:creationId xmlns:a16="http://schemas.microsoft.com/office/drawing/2014/main" id="{00000000-0008-0000-0400-000034000000}"/>
                </a:ext>
              </a:extLst>
            </xdr:cNvPr>
            <xdr:cNvSpPr/>
          </xdr:nvSpPr>
          <xdr:spPr>
            <a:xfrm>
              <a:off x="166361" y="4649158"/>
              <a:ext cx="2348239" cy="346409"/>
            </a:xfrm>
            <a:prstGeom prst="rect">
              <a:avLst/>
            </a:prstGeom>
            <a:ln>
              <a:solidFill>
                <a:schemeClr val="accent5">
                  <a:lumMod val="75000"/>
                </a:schemeClr>
              </a:solidFill>
            </a:ln>
          </xdr:spPr>
          <xdr:style>
            <a:lnRef idx="3">
              <a:schemeClr val="lt1"/>
            </a:lnRef>
            <a:fillRef idx="1">
              <a:schemeClr val="accent5"/>
            </a:fillRef>
            <a:effectRef idx="1">
              <a:schemeClr val="accent5"/>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800" b="1" kern="1200">
                  <a:solidFill>
                    <a:schemeClr val="lt1"/>
                  </a:solidFill>
                  <a:effectLst/>
                  <a:latin typeface="Century Gothic" panose="020B0502020202020204" pitchFamily="34" charset="0"/>
                  <a:ea typeface="+mn-ea"/>
                  <a:cs typeface="+mn-cs"/>
                </a:rPr>
                <a:t>Stock Out</a:t>
              </a:r>
              <a:endParaRPr lang="en-US" sz="1800">
                <a:effectLst/>
                <a:latin typeface="Century Gothic" panose="020B0502020202020204" pitchFamily="34" charset="0"/>
              </a:endParaRPr>
            </a:p>
          </xdr:txBody>
        </xdr:sp>
      </xdr:grpSp>
    </xdr:grpSp>
    <xdr:clientData/>
  </xdr:twoCellAnchor>
  <xdr:twoCellAnchor>
    <xdr:from>
      <xdr:col>4</xdr:col>
      <xdr:colOff>472027</xdr:colOff>
      <xdr:row>26</xdr:row>
      <xdr:rowOff>175885</xdr:rowOff>
    </xdr:from>
    <xdr:to>
      <xdr:col>14</xdr:col>
      <xdr:colOff>217396</xdr:colOff>
      <xdr:row>36</xdr:row>
      <xdr:rowOff>10966</xdr:rowOff>
    </xdr:to>
    <xdr:graphicFrame macro="">
      <xdr:nvGraphicFramePr>
        <xdr:cNvPr id="56" name="Chart 55">
          <a:extLst>
            <a:ext uri="{FF2B5EF4-FFF2-40B4-BE49-F238E27FC236}">
              <a16:creationId xmlns:a16="http://schemas.microsoft.com/office/drawing/2014/main" id="{248CC891-0853-43D3-9B6C-76A5CAD4C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184557</xdr:colOff>
      <xdr:row>4</xdr:row>
      <xdr:rowOff>23907</xdr:rowOff>
    </xdr:from>
    <xdr:to>
      <xdr:col>4</xdr:col>
      <xdr:colOff>431320</xdr:colOff>
      <xdr:row>12</xdr:row>
      <xdr:rowOff>70565</xdr:rowOff>
    </xdr:to>
    <xdr:grpSp>
      <xdr:nvGrpSpPr>
        <xdr:cNvPr id="12" name="Group 11">
          <a:extLst>
            <a:ext uri="{FF2B5EF4-FFF2-40B4-BE49-F238E27FC236}">
              <a16:creationId xmlns:a16="http://schemas.microsoft.com/office/drawing/2014/main" id="{18189B0D-1700-477C-8D98-33E771811E83}"/>
            </a:ext>
          </a:extLst>
        </xdr:cNvPr>
        <xdr:cNvGrpSpPr/>
      </xdr:nvGrpSpPr>
      <xdr:grpSpPr>
        <a:xfrm>
          <a:off x="184557" y="785907"/>
          <a:ext cx="2685163" cy="1570658"/>
          <a:chOff x="163443" y="5326755"/>
          <a:chExt cx="2682488" cy="1190049"/>
        </a:xfrm>
      </xdr:grpSpPr>
      <mc:AlternateContent xmlns:mc="http://schemas.openxmlformats.org/markup-compatibility/2006" xmlns:a14="http://schemas.microsoft.com/office/drawing/2010/main">
        <mc:Choice Requires="a14">
          <xdr:graphicFrame macro="">
            <xdr:nvGraphicFramePr>
              <xdr:cNvPr id="35" name="Product Name">
                <a:extLst>
                  <a:ext uri="{FF2B5EF4-FFF2-40B4-BE49-F238E27FC236}">
                    <a16:creationId xmlns:a16="http://schemas.microsoft.com/office/drawing/2014/main" id="{2CA16656-5429-46CE-9DDC-AF775ABCACF8}"/>
                  </a:ext>
                </a:extLst>
              </xdr:cNvPr>
              <xdr:cNvGraphicFramePr/>
            </xdr:nvGraphicFramePr>
            <xdr:xfrm>
              <a:off x="1300074" y="5326755"/>
              <a:ext cx="1545857" cy="1188721"/>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326934" y="785907"/>
                <a:ext cx="1553672" cy="1568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6" name="Product Category">
                <a:extLst>
                  <a:ext uri="{FF2B5EF4-FFF2-40B4-BE49-F238E27FC236}">
                    <a16:creationId xmlns:a16="http://schemas.microsoft.com/office/drawing/2014/main" id="{52823C1D-EEA4-4653-8EE6-8600B5C56B9B}"/>
                  </a:ext>
                </a:extLst>
              </xdr:cNvPr>
              <xdr:cNvGraphicFramePr/>
            </xdr:nvGraphicFramePr>
            <xdr:xfrm>
              <a:off x="163443" y="5328084"/>
              <a:ext cx="1116189" cy="118872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84557" y="787661"/>
                <a:ext cx="1121832" cy="1568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479863</xdr:colOff>
      <xdr:row>4</xdr:row>
      <xdr:rowOff>28574</xdr:rowOff>
    </xdr:from>
    <xdr:to>
      <xdr:col>18</xdr:col>
      <xdr:colOff>513286</xdr:colOff>
      <xdr:row>5</xdr:row>
      <xdr:rowOff>47625</xdr:rowOff>
    </xdr:to>
    <xdr:sp macro="" textlink="">
      <xdr:nvSpPr>
        <xdr:cNvPr id="8" name="Rectangle 7">
          <a:extLst>
            <a:ext uri="{FF2B5EF4-FFF2-40B4-BE49-F238E27FC236}">
              <a16:creationId xmlns:a16="http://schemas.microsoft.com/office/drawing/2014/main" id="{1C8BFE9F-A4BD-4D63-B4D8-74CDC69EE16D}"/>
            </a:ext>
          </a:extLst>
        </xdr:cNvPr>
        <xdr:cNvSpPr/>
      </xdr:nvSpPr>
      <xdr:spPr>
        <a:xfrm>
          <a:off x="2923518" y="790574"/>
          <a:ext cx="8586216" cy="209551"/>
        </a:xfrm>
        <a:prstGeom prst="rect">
          <a:avLst/>
        </a:prstGeom>
        <a:no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baseline="0">
              <a:solidFill>
                <a:schemeClr val="bg2">
                  <a:lumMod val="50000"/>
                </a:schemeClr>
              </a:solidFill>
            </a:rPr>
            <a:t>INVENTORY OVERVIEW DETAILS</a:t>
          </a:r>
          <a:endParaRPr lang="en-US" sz="1600" b="1">
            <a:solidFill>
              <a:schemeClr val="bg2">
                <a:lumMod val="50000"/>
              </a:schemeClr>
            </a:solidFill>
          </a:endParaRPr>
        </a:p>
      </xdr:txBody>
    </xdr:sp>
    <xdr:clientData/>
  </xdr:twoCellAnchor>
  <xdr:twoCellAnchor>
    <xdr:from>
      <xdr:col>4</xdr:col>
      <xdr:colOff>481490</xdr:colOff>
      <xdr:row>5</xdr:row>
      <xdr:rowOff>54192</xdr:rowOff>
    </xdr:from>
    <xdr:to>
      <xdr:col>18</xdr:col>
      <xdr:colOff>514913</xdr:colOff>
      <xdr:row>14</xdr:row>
      <xdr:rowOff>172980</xdr:rowOff>
    </xdr:to>
    <xdr:sp macro="" textlink="">
      <xdr:nvSpPr>
        <xdr:cNvPr id="9" name="Rectangle 8">
          <a:extLst>
            <a:ext uri="{FF2B5EF4-FFF2-40B4-BE49-F238E27FC236}">
              <a16:creationId xmlns:a16="http://schemas.microsoft.com/office/drawing/2014/main" id="{888F8DAB-71A3-4341-B8E5-DA05B2F14AD8}"/>
            </a:ext>
          </a:extLst>
        </xdr:cNvPr>
        <xdr:cNvSpPr/>
      </xdr:nvSpPr>
      <xdr:spPr>
        <a:xfrm>
          <a:off x="2919890" y="1006692"/>
          <a:ext cx="8567823" cy="1833288"/>
        </a:xfrm>
        <a:prstGeom prst="rect">
          <a:avLst/>
        </a:prstGeom>
        <a:no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11</xdr:col>
          <xdr:colOff>76199</xdr:colOff>
          <xdr:row>15</xdr:row>
          <xdr:rowOff>233799</xdr:rowOff>
        </xdr:from>
        <xdr:to>
          <xdr:col>18</xdr:col>
          <xdr:colOff>506557</xdr:colOff>
          <xdr:row>26</xdr:row>
          <xdr:rowOff>125557</xdr:rowOff>
        </xdr:to>
        <xdr:pic>
          <xdr:nvPicPr>
            <xdr:cNvPr id="37" name="Picture 36">
              <a:extLst>
                <a:ext uri="{FF2B5EF4-FFF2-40B4-BE49-F238E27FC236}">
                  <a16:creationId xmlns:a16="http://schemas.microsoft.com/office/drawing/2014/main" id="{AD2839A7-A416-433F-B737-D5A4972DEFBB}"/>
                </a:ext>
              </a:extLst>
            </xdr:cNvPr>
            <xdr:cNvPicPr>
              <a:picLocks noChangeArrowheads="1"/>
              <a:extLst>
                <a:ext uri="{84589F7E-364E-4C9E-8A38-B11213B215E9}">
                  <a14:cameraTool cellRange="KPI_CHART" spid="_x0000_s3217"/>
                </a:ext>
              </a:extLst>
            </xdr:cNvPicPr>
          </xdr:nvPicPr>
          <xdr:blipFill>
            <a:blip xmlns:r="http://schemas.openxmlformats.org/officeDocument/2006/relationships" r:embed="rId6"/>
            <a:srcRect/>
            <a:stretch>
              <a:fillRect/>
            </a:stretch>
          </xdr:blipFill>
          <xdr:spPr bwMode="auto">
            <a:xfrm>
              <a:off x="6791324" y="3091299"/>
              <a:ext cx="4703619" cy="2034883"/>
            </a:xfrm>
            <a:prstGeom prst="rect">
              <a:avLst/>
            </a:prstGeom>
            <a:solidFill>
              <a:srgbClr val="FFFFFF" mc:Ignorable="a14" a14:legacySpreadsheetColorIndex="9"/>
            </a:solidFill>
            <a:ln w="19050">
              <a:solidFill>
                <a:schemeClr val="accent5">
                  <a:lumMod val="75000"/>
                </a:schemeClr>
              </a:solidFill>
              <a:miter lim="800000"/>
              <a:headEnd/>
              <a:tailEnd/>
            </a:ln>
          </xdr:spPr>
        </xdr:pic>
        <xdr:clientData/>
      </xdr:twoCellAnchor>
    </mc:Choice>
    <mc:Fallback/>
  </mc:AlternateContent>
  <xdr:twoCellAnchor>
    <xdr:from>
      <xdr:col>14</xdr:col>
      <xdr:colOff>312965</xdr:colOff>
      <xdr:row>27</xdr:row>
      <xdr:rowOff>95249</xdr:rowOff>
    </xdr:from>
    <xdr:to>
      <xdr:col>18</xdr:col>
      <xdr:colOff>299358</xdr:colOff>
      <xdr:row>33</xdr:row>
      <xdr:rowOff>163284</xdr:rowOff>
    </xdr:to>
    <xdr:sp macro="" textlink="'ref&amp;calc'!L21">
      <xdr:nvSpPr>
        <xdr:cNvPr id="13" name="Rectangle 12">
          <a:extLst>
            <a:ext uri="{FF2B5EF4-FFF2-40B4-BE49-F238E27FC236}">
              <a16:creationId xmlns:a16="http://schemas.microsoft.com/office/drawing/2014/main" id="{C96D94AB-7305-4B72-A939-6FE21DFE1D9C}"/>
            </a:ext>
          </a:extLst>
        </xdr:cNvPr>
        <xdr:cNvSpPr/>
      </xdr:nvSpPr>
      <xdr:spPr>
        <a:xfrm>
          <a:off x="8885465" y="5293178"/>
          <a:ext cx="2435679" cy="1211035"/>
        </a:xfrm>
        <a:prstGeom prst="rect">
          <a:avLst/>
        </a:prstGeom>
        <a:noFill/>
        <a:ln w="19050">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BC7A9D0-3BE0-4839-99EF-6E32452AFF41}" type="TxLink">
            <a:rPr lang="en-US" sz="1400" b="1" i="0" u="none" strike="noStrike">
              <a:solidFill>
                <a:schemeClr val="accent1">
                  <a:lumMod val="50000"/>
                </a:schemeClr>
              </a:solidFill>
              <a:latin typeface="Calibri"/>
              <a:cs typeface="Calibri"/>
            </a:rPr>
            <a:pPr algn="l"/>
            <a:t>Cannot determine the status. Please select one product at a time.</a:t>
          </a:fld>
          <a:endParaRPr lang="en-US" sz="1400" b="1">
            <a:solidFill>
              <a:schemeClr val="accent1">
                <a:lumMod val="50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4</xdr:col>
          <xdr:colOff>488674</xdr:colOff>
          <xdr:row>15</xdr:row>
          <xdr:rowOff>240195</xdr:rowOff>
        </xdr:from>
        <xdr:to>
          <xdr:col>11</xdr:col>
          <xdr:colOff>8283</xdr:colOff>
          <xdr:row>26</xdr:row>
          <xdr:rowOff>124238</xdr:rowOff>
        </xdr:to>
        <xdr:pic>
          <xdr:nvPicPr>
            <xdr:cNvPr id="39" name="Picture 38">
              <a:extLst>
                <a:ext uri="{FF2B5EF4-FFF2-40B4-BE49-F238E27FC236}">
                  <a16:creationId xmlns:a16="http://schemas.microsoft.com/office/drawing/2014/main" id="{6C60B78E-FE2B-4A17-A157-4B0924EFC5E5}"/>
                </a:ext>
              </a:extLst>
            </xdr:cNvPr>
            <xdr:cNvPicPr>
              <a:picLocks noChangeAspect="1" noChangeArrowheads="1"/>
              <a:extLst>
                <a:ext uri="{84589F7E-364E-4C9E-8A38-B11213B215E9}">
                  <a14:cameraTool cellRange="KPI_chart2" spid="_x0000_s3218"/>
                </a:ext>
              </a:extLst>
            </xdr:cNvPicPr>
          </xdr:nvPicPr>
          <xdr:blipFill>
            <a:blip xmlns:r="http://schemas.openxmlformats.org/officeDocument/2006/relationships" r:embed="rId7"/>
            <a:srcRect/>
            <a:stretch>
              <a:fillRect/>
            </a:stretch>
          </xdr:blipFill>
          <xdr:spPr bwMode="auto">
            <a:xfrm>
              <a:off x="2940326" y="3097695"/>
              <a:ext cx="3810000" cy="2029239"/>
            </a:xfrm>
            <a:prstGeom prst="rect">
              <a:avLst/>
            </a:prstGeom>
            <a:solidFill>
              <a:srgbClr val="FFFFFF" mc:Ignorable="a14" a14:legacySpreadsheetColorIndex="9"/>
            </a:solidFill>
            <a:ln w="19050">
              <a:solidFill>
                <a:schemeClr val="accent5">
                  <a:lumMod val="75000"/>
                </a:schemeClr>
              </a:solidFill>
              <a:miter lim="800000"/>
              <a:headEnd/>
              <a:tailEnd/>
            </a:ln>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t Pastoril" refreshedDate="44024.033218055556" createdVersion="6" refreshedVersion="6" minRefreshableVersion="3" recordCount="10" xr:uid="{D51F5A63-4C25-4C98-8A04-1FBEE37AF2A4}">
  <cacheSource type="worksheet">
    <worksheetSource name="Product_List"/>
  </cacheSource>
  <cacheFields count="8">
    <cacheField name="S No." numFmtId="0">
      <sharedItems containsSemiMixedTypes="0" containsString="0" containsNumber="1" containsInteger="1" minValue="1" maxValue="10"/>
    </cacheField>
    <cacheField name="Product ID" numFmtId="0">
      <sharedItems count="10">
        <s v="Prd001"/>
        <s v="Prd002"/>
        <s v="Prd003"/>
        <s v="Prd004"/>
        <s v="Prd005"/>
        <s v="Prd006"/>
        <s v="Prd007"/>
        <s v="Prd008"/>
        <s v="Prd009"/>
        <s v="Prd010"/>
      </sharedItems>
    </cacheField>
    <cacheField name="Product Name" numFmtId="0">
      <sharedItems count="10">
        <s v="Detergents"/>
        <s v="Tooth Paste"/>
        <s v="Sun Flower Oil"/>
        <s v="Broom"/>
        <s v="Bucket"/>
        <s v="Vaccum Cleaner"/>
        <s v="Knife"/>
        <s v="Body Soap"/>
        <s v="Wheet Powder"/>
        <s v="Rice"/>
      </sharedItems>
    </cacheField>
    <cacheField name="Product Category" numFmtId="0">
      <sharedItems count="3">
        <s v="Toiletories"/>
        <s v="Kitchen Items"/>
        <s v="Home Care"/>
      </sharedItems>
    </cacheField>
    <cacheField name="Unit Price" numFmtId="165">
      <sharedItems containsSemiMixedTypes="0" containsString="0" containsNumber="1" containsInteger="1" minValue="10" maxValue="4500"/>
    </cacheField>
    <cacheField name="Ideal Stock" numFmtId="0">
      <sharedItems containsSemiMixedTypes="0" containsString="0" containsNumber="1" containsInteger="1" minValue="10" maxValue="300" count="7">
        <n v="250"/>
        <n v="300"/>
        <n v="50"/>
        <n v="25"/>
        <n v="10"/>
        <n v="150"/>
        <n v="35"/>
      </sharedItems>
    </cacheField>
    <cacheField name="Available Stock" numFmtId="0">
      <sharedItems containsSemiMixedTypes="0" containsString="0" containsNumber="1" containsInteger="1" minValue="3" maxValue="156" count="8">
        <n v="4"/>
        <n v="6"/>
        <n v="29"/>
        <n v="3"/>
        <n v="7"/>
        <n v="19"/>
        <n v="156"/>
        <n v="12"/>
      </sharedItems>
    </cacheField>
    <cacheField name="Available Stock Value" numFmtId="165">
      <sharedItems containsSemiMixedTypes="0" containsString="0" containsNumber="1" containsInteger="1" minValue="40" maxValue="18000"/>
    </cacheField>
  </cacheFields>
  <extLst>
    <ext xmlns:x14="http://schemas.microsoft.com/office/spreadsheetml/2009/9/main" uri="{725AE2AE-9491-48be-B2B4-4EB974FC3084}">
      <x14:pivotCacheDefinition pivotCacheId="10369685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n v="10"/>
    <x v="0"/>
    <x v="0"/>
    <n v="40"/>
  </r>
  <r>
    <n v="2"/>
    <x v="1"/>
    <x v="1"/>
    <x v="0"/>
    <n v="25"/>
    <x v="1"/>
    <x v="1"/>
    <n v="150"/>
  </r>
  <r>
    <n v="3"/>
    <x v="2"/>
    <x v="2"/>
    <x v="1"/>
    <n v="85"/>
    <x v="2"/>
    <x v="2"/>
    <n v="2465"/>
  </r>
  <r>
    <n v="4"/>
    <x v="3"/>
    <x v="3"/>
    <x v="2"/>
    <n v="125"/>
    <x v="2"/>
    <x v="3"/>
    <n v="375"/>
  </r>
  <r>
    <n v="5"/>
    <x v="4"/>
    <x v="4"/>
    <x v="2"/>
    <n v="500"/>
    <x v="3"/>
    <x v="4"/>
    <n v="3500"/>
  </r>
  <r>
    <n v="6"/>
    <x v="5"/>
    <x v="5"/>
    <x v="2"/>
    <n v="4500"/>
    <x v="4"/>
    <x v="0"/>
    <n v="18000"/>
  </r>
  <r>
    <n v="7"/>
    <x v="6"/>
    <x v="6"/>
    <x v="1"/>
    <n v="60"/>
    <x v="5"/>
    <x v="5"/>
    <n v="1140"/>
  </r>
  <r>
    <n v="8"/>
    <x v="7"/>
    <x v="7"/>
    <x v="0"/>
    <n v="40"/>
    <x v="0"/>
    <x v="6"/>
    <n v="6240"/>
  </r>
  <r>
    <n v="9"/>
    <x v="8"/>
    <x v="8"/>
    <x v="1"/>
    <n v="80"/>
    <x v="6"/>
    <x v="7"/>
    <n v="960"/>
  </r>
  <r>
    <n v="10"/>
    <x v="9"/>
    <x v="9"/>
    <x v="1"/>
    <n v="50"/>
    <x v="3"/>
    <x v="7"/>
    <n v="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6EE7E8-50C5-41DA-8646-A84CE2E805AB}"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7:C17" firstHeaderRow="0" firstDataRow="1" firstDataCol="1"/>
  <pivotFields count="8">
    <pivotField showAll="0"/>
    <pivotField showAll="0">
      <items count="11">
        <item x="0"/>
        <item x="1"/>
        <item x="2"/>
        <item x="3"/>
        <item x="4"/>
        <item x="5"/>
        <item x="6"/>
        <item x="7"/>
        <item x="8"/>
        <item x="9"/>
        <item t="default"/>
      </items>
    </pivotField>
    <pivotField axis="axisRow" showAll="0">
      <items count="11">
        <item x="7"/>
        <item x="3"/>
        <item x="4"/>
        <item x="0"/>
        <item x="6"/>
        <item x="9"/>
        <item x="2"/>
        <item x="1"/>
        <item n="Vacuum Cleaner" x="5"/>
        <item n="Wheat Powder" x="8"/>
        <item t="default"/>
      </items>
    </pivotField>
    <pivotField showAll="0">
      <items count="4">
        <item x="2"/>
        <item x="1"/>
        <item x="0"/>
        <item t="default"/>
      </items>
    </pivotField>
    <pivotField numFmtId="165" showAll="0"/>
    <pivotField dataField="1" showAll="0">
      <items count="8">
        <item x="4"/>
        <item x="3"/>
        <item x="6"/>
        <item x="2"/>
        <item x="5"/>
        <item x="0"/>
        <item x="1"/>
        <item t="default"/>
      </items>
    </pivotField>
    <pivotField dataField="1" showAll="0">
      <items count="9">
        <item x="3"/>
        <item x="0"/>
        <item x="1"/>
        <item x="4"/>
        <item x="7"/>
        <item x="5"/>
        <item x="2"/>
        <item x="6"/>
        <item t="default"/>
      </items>
    </pivotField>
    <pivotField numFmtId="165" showAll="0"/>
  </pivotFields>
  <rowFields count="1">
    <field x="2"/>
  </rowFields>
  <rowItems count="10">
    <i>
      <x/>
    </i>
    <i>
      <x v="1"/>
    </i>
    <i>
      <x v="2"/>
    </i>
    <i>
      <x v="3"/>
    </i>
    <i>
      <x v="4"/>
    </i>
    <i>
      <x v="5"/>
    </i>
    <i>
      <x v="6"/>
    </i>
    <i>
      <x v="7"/>
    </i>
    <i>
      <x v="8"/>
    </i>
    <i>
      <x v="9"/>
    </i>
  </rowItems>
  <colFields count="1">
    <field x="-2"/>
  </colFields>
  <colItems count="2">
    <i>
      <x/>
    </i>
    <i i="1">
      <x v="1"/>
    </i>
  </colItems>
  <dataFields count="2">
    <dataField name="Ideal Stocks" fld="5" baseField="0" baseItem="0"/>
    <dataField name="Current Stocks" fld="6"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F010F7E2-E06A-4ED0-8856-1047587AC637}" sourceName="Product Name">
  <pivotTables>
    <pivotTable tabId="5" name="PivotTable1"/>
  </pivotTables>
  <data>
    <tabular pivotCacheId="1036968553">
      <items count="10">
        <i x="7" s="1"/>
        <i x="3" s="1"/>
        <i x="4" s="1"/>
        <i x="0" s="1"/>
        <i x="6" s="1"/>
        <i x="9" s="1"/>
        <i x="2" s="1"/>
        <i x="1" s="1"/>
        <i x="5"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125D57EE-190A-48FC-9BF1-47159D5FB06B}" sourceName="Product Category">
  <pivotTables>
    <pivotTable tabId="5" name="PivotTable1"/>
  </pivotTables>
  <data>
    <tabular pivotCacheId="103696855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497CBA09-3FE0-4BFD-AE4B-DD3ED1290C82}" cache="Slicer_Product_Name" caption="Product Name" style="SlicerStyleDark5" rowHeight="241300"/>
  <slicer name="Product Category" xr10:uid="{857B7DE7-801F-4E1B-972C-2B2A829B2429}" cache="Slicer_Product_Category" caption="Product Category" style="SlicerStyleDark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E968BF0-7B44-465B-8A98-83C96ECF17BC}" name="Product_List" displayName="Product_List" ref="A1:H11" totalsRowShown="0" headerRowDxfId="39" dataDxfId="37" headerRowBorderDxfId="38" tableBorderDxfId="36" totalsRowBorderDxfId="35">
  <tableColumns count="8">
    <tableColumn id="1" xr3:uid="{00227BC0-1A1D-4457-8B5B-37615AE48D44}" name="S No." dataDxfId="34"/>
    <tableColumn id="2" xr3:uid="{DE379E3D-39A4-42FB-A4CD-D89F98D8C820}" name="Product ID" dataDxfId="33"/>
    <tableColumn id="3" xr3:uid="{5B9D7923-E55C-4413-A07F-6AB271F740EB}" name="Product Name" dataDxfId="32"/>
    <tableColumn id="5" xr3:uid="{9BE0CD35-57D8-4C37-969E-8A13A828BC68}" name="Product Category" dataDxfId="31"/>
    <tableColumn id="8" xr3:uid="{D3FD3444-AE54-4FB3-A47A-82C2EC371681}" name="Unit Price" dataDxfId="30" dataCellStyle="Currency"/>
    <tableColumn id="6" xr3:uid="{91AB841C-E5AE-405F-ABD8-C1A45F53CE39}" name="Ideal Stock" dataDxfId="29" dataCellStyle="Comma"/>
    <tableColumn id="4" xr3:uid="{5A52A02B-4C43-471B-AE93-C6762BF0416F}" name="Available Stock" dataDxfId="28" dataCellStyle="Comma"/>
    <tableColumn id="7" xr3:uid="{A184A8DD-AB30-4516-8F83-ECD1B6A5992E}" name="Available Stock Value" dataDxfId="27" dataCellStyle="Currency">
      <calculatedColumnFormula>Product_List[[#This Row],[Available Stock]]*Product_List[[#This Row],[Unit Price]]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008D4B-78B4-4E05-800F-40175B7C3707}" name="Stock_In" displayName="Stock_In" ref="A1:H11" totalsRowShown="0" headerRowDxfId="26" dataDxfId="24" headerRowBorderDxfId="25" tableBorderDxfId="23" totalsRowBorderDxfId="22">
  <tableColumns count="8">
    <tableColumn id="1" xr3:uid="{74E04FEC-3BBE-44B1-90C7-FF04B710BF3F}" name="S No." dataDxfId="21"/>
    <tableColumn id="4" xr3:uid="{CDC5C48D-9FD5-4C38-88AB-ACFC61D8BEFB}" name="Date" dataDxfId="20"/>
    <tableColumn id="2" xr3:uid="{9BA53480-A605-4D49-A308-F00D703A8314}" name="Product ID" dataDxfId="19"/>
    <tableColumn id="3" xr3:uid="{4B5067E7-9E5C-42EF-9F70-FFE9B95B7FE1}" name="Product Name" dataDxfId="18"/>
    <tableColumn id="5" xr3:uid="{070ED644-AA16-44DC-B831-951C7826B8E3}" name="Product Category" dataDxfId="17"/>
    <tableColumn id="8" xr3:uid="{4EFEC6C1-CC89-4EBD-B6F5-B51EF7552050}" name="Unit Price" dataDxfId="16" dataCellStyle="Comma"/>
    <tableColumn id="7" xr3:uid="{09923579-68F8-49BF-93AA-78CC4CB36D41}" name="Units Received" dataDxfId="15" dataCellStyle="Comma"/>
    <tableColumn id="6" xr3:uid="{6992ECC7-6318-454C-A36E-D364EA7E8F41}" name="Total Value" dataDxfId="14" dataCellStyle="Comma">
      <calculatedColumnFormula>Stock_In[[#This Row],[Units Received]]*Stock_In[[#This Row],[Unit Price]]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5394699-AF12-4C45-8F7F-C7CE06EA1B1E}" name="Stock_Out" displayName="Stock_Out" ref="A1:H21" totalsRowShown="0" headerRowDxfId="13" dataDxfId="11" headerRowBorderDxfId="12" tableBorderDxfId="10" totalsRowBorderDxfId="9">
  <tableColumns count="8">
    <tableColumn id="1" xr3:uid="{1909097F-5339-4F09-9B33-FAB7456F8D8A}" name="S No." dataDxfId="8"/>
    <tableColumn id="4" xr3:uid="{B293A4C5-7CDC-495F-BC5B-581987D5AF67}" name="Date" dataDxfId="7"/>
    <tableColumn id="2" xr3:uid="{1EEF8DEA-112E-49D4-B20D-CF65B17CD12D}" name="Product ID" dataDxfId="6"/>
    <tableColumn id="3" xr3:uid="{04ED379A-A519-408C-AE32-62562E4FD05D}" name="Product Name" dataDxfId="5"/>
    <tableColumn id="5" xr3:uid="{CCC609AE-9887-401A-B27A-1E6209615ADD}" name="Product Category" dataDxfId="4"/>
    <tableColumn id="8" xr3:uid="{5D55A30B-ECC8-47BE-AB3D-F23FFA438745}" name="Unit Price" dataDxfId="3" dataCellStyle="Comma"/>
    <tableColumn id="7" xr3:uid="{0ED5887D-F6D5-4681-847E-30756FA7C13F}" name="Units Sold" dataDxfId="2" dataCellStyle="Comma"/>
    <tableColumn id="6" xr3:uid="{7ABF9245-336A-4329-9256-77864AD892AB}" name="Total Value" dataDxfId="1" dataCellStyle="Comma">
      <calculatedColumnFormula>Stock_Out[[#This Row],[Units Sold]]*Stock_Out[[#This Row],[Unit Price]]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7CBC-4017-47B1-A53D-DD7771B73A6F}">
  <sheetPr codeName="Sheet2"/>
  <dimension ref="A1:H36"/>
  <sheetViews>
    <sheetView showGridLines="0" zoomScale="85" zoomScaleNormal="85" workbookViewId="0">
      <selection activeCell="C2" sqref="C2:C11"/>
    </sheetView>
  </sheetViews>
  <sheetFormatPr defaultRowHeight="15" x14ac:dyDescent="0.25"/>
  <cols>
    <col min="1" max="1" width="15.7109375" style="13" bestFit="1" customWidth="1"/>
    <col min="2" max="2" width="11.42578125" bestFit="1" customWidth="1"/>
    <col min="3" max="3" width="13.85546875" bestFit="1" customWidth="1"/>
    <col min="4" max="4" width="10.5703125" bestFit="1" customWidth="1"/>
    <col min="5" max="5" width="21.42578125" bestFit="1" customWidth="1"/>
    <col min="6" max="6" width="13.28515625" bestFit="1" customWidth="1"/>
    <col min="7" max="7" width="10.5703125" bestFit="1" customWidth="1"/>
    <col min="8" max="8" width="22.42578125" bestFit="1" customWidth="1"/>
    <col min="9" max="9" width="26.42578125" bestFit="1" customWidth="1"/>
    <col min="10" max="10" width="15.28515625" bestFit="1" customWidth="1"/>
    <col min="11" max="11" width="14.5703125" bestFit="1" customWidth="1"/>
    <col min="12" max="12" width="11.28515625" bestFit="1" customWidth="1"/>
    <col min="13" max="13" width="11.140625" bestFit="1" customWidth="1"/>
    <col min="15" max="15" width="11.5703125" bestFit="1" customWidth="1"/>
  </cols>
  <sheetData>
    <row r="1" spans="1:8" ht="30" x14ac:dyDescent="0.25">
      <c r="A1" s="1" t="s">
        <v>0</v>
      </c>
      <c r="B1" s="2" t="s">
        <v>1</v>
      </c>
      <c r="C1" s="2" t="s">
        <v>2</v>
      </c>
      <c r="D1" s="2" t="s">
        <v>3</v>
      </c>
      <c r="E1" s="3" t="s">
        <v>4</v>
      </c>
      <c r="F1" s="4" t="s">
        <v>5</v>
      </c>
      <c r="G1" s="5" t="s">
        <v>6</v>
      </c>
      <c r="H1" s="6" t="s">
        <v>7</v>
      </c>
    </row>
    <row r="2" spans="1:8" x14ac:dyDescent="0.25">
      <c r="A2" s="7">
        <v>1</v>
      </c>
      <c r="B2" s="8" t="s">
        <v>8</v>
      </c>
      <c r="C2" s="8" t="s">
        <v>9</v>
      </c>
      <c r="D2" s="8" t="s">
        <v>40</v>
      </c>
      <c r="E2" s="31">
        <v>10</v>
      </c>
      <c r="F2" s="9">
        <v>250</v>
      </c>
      <c r="G2" s="9">
        <v>4</v>
      </c>
      <c r="H2" s="33">
        <f>Product_List[[#This Row],[Available Stock]]*Product_List[[#This Row],[Unit Price]]</f>
        <v>40</v>
      </c>
    </row>
    <row r="3" spans="1:8" x14ac:dyDescent="0.25">
      <c r="A3" s="7">
        <v>2</v>
      </c>
      <c r="B3" s="8" t="s">
        <v>10</v>
      </c>
      <c r="C3" s="8" t="s">
        <v>11</v>
      </c>
      <c r="D3" s="8" t="s">
        <v>40</v>
      </c>
      <c r="E3" s="31">
        <v>25</v>
      </c>
      <c r="F3" s="9">
        <v>300</v>
      </c>
      <c r="G3" s="9">
        <v>6</v>
      </c>
      <c r="H3" s="33">
        <f>Product_List[[#This Row],[Available Stock]]*Product_List[[#This Row],[Unit Price]]</f>
        <v>150</v>
      </c>
    </row>
    <row r="4" spans="1:8" x14ac:dyDescent="0.25">
      <c r="A4" s="7">
        <v>3</v>
      </c>
      <c r="B4" s="8" t="s">
        <v>12</v>
      </c>
      <c r="C4" s="8" t="s">
        <v>13</v>
      </c>
      <c r="D4" s="8" t="s">
        <v>14</v>
      </c>
      <c r="E4" s="31">
        <v>85</v>
      </c>
      <c r="F4" s="9">
        <v>50</v>
      </c>
      <c r="G4" s="9">
        <v>29</v>
      </c>
      <c r="H4" s="33">
        <f>Product_List[[#This Row],[Available Stock]]*Product_List[[#This Row],[Unit Price]]</f>
        <v>2465</v>
      </c>
    </row>
    <row r="5" spans="1:8" x14ac:dyDescent="0.25">
      <c r="A5" s="7">
        <v>4</v>
      </c>
      <c r="B5" s="8" t="s">
        <v>15</v>
      </c>
      <c r="C5" s="8" t="s">
        <v>16</v>
      </c>
      <c r="D5" s="8" t="s">
        <v>17</v>
      </c>
      <c r="E5" s="31">
        <v>125</v>
      </c>
      <c r="F5" s="9">
        <v>50</v>
      </c>
      <c r="G5" s="9">
        <v>3</v>
      </c>
      <c r="H5" s="33">
        <f>Product_List[[#This Row],[Available Stock]]*Product_List[[#This Row],[Unit Price]]</f>
        <v>375</v>
      </c>
    </row>
    <row r="6" spans="1:8" x14ac:dyDescent="0.25">
      <c r="A6" s="7">
        <v>5</v>
      </c>
      <c r="B6" s="8" t="s">
        <v>18</v>
      </c>
      <c r="C6" s="8" t="s">
        <v>19</v>
      </c>
      <c r="D6" s="8" t="s">
        <v>17</v>
      </c>
      <c r="E6" s="46">
        <v>500</v>
      </c>
      <c r="F6" s="9">
        <v>25</v>
      </c>
      <c r="G6" s="9">
        <v>7</v>
      </c>
      <c r="H6" s="33">
        <f>Product_List[[#This Row],[Available Stock]]*Product_List[[#This Row],[Unit Price]]</f>
        <v>3500</v>
      </c>
    </row>
    <row r="7" spans="1:8" x14ac:dyDescent="0.25">
      <c r="A7" s="7">
        <v>6</v>
      </c>
      <c r="B7" s="8" t="s">
        <v>20</v>
      </c>
      <c r="C7" s="8" t="s">
        <v>41</v>
      </c>
      <c r="D7" s="8" t="s">
        <v>17</v>
      </c>
      <c r="E7" s="31">
        <v>4500</v>
      </c>
      <c r="F7" s="9">
        <v>10</v>
      </c>
      <c r="G7" s="9">
        <v>4</v>
      </c>
      <c r="H7" s="33">
        <f>Product_List[[#This Row],[Available Stock]]*Product_List[[#This Row],[Unit Price]]</f>
        <v>18000</v>
      </c>
    </row>
    <row r="8" spans="1:8" x14ac:dyDescent="0.25">
      <c r="A8" s="7">
        <v>7</v>
      </c>
      <c r="B8" s="8" t="s">
        <v>21</v>
      </c>
      <c r="C8" s="8" t="s">
        <v>22</v>
      </c>
      <c r="D8" s="8" t="s">
        <v>14</v>
      </c>
      <c r="E8" s="31">
        <v>60</v>
      </c>
      <c r="F8" s="9">
        <v>150</v>
      </c>
      <c r="G8" s="9">
        <v>19</v>
      </c>
      <c r="H8" s="33">
        <f>Product_List[[#This Row],[Available Stock]]*Product_List[[#This Row],[Unit Price]]</f>
        <v>1140</v>
      </c>
    </row>
    <row r="9" spans="1:8" x14ac:dyDescent="0.25">
      <c r="A9" s="7">
        <v>8</v>
      </c>
      <c r="B9" s="8" t="s">
        <v>23</v>
      </c>
      <c r="C9" s="8" t="s">
        <v>24</v>
      </c>
      <c r="D9" s="8" t="s">
        <v>40</v>
      </c>
      <c r="E9" s="31">
        <v>40</v>
      </c>
      <c r="F9" s="9">
        <v>250</v>
      </c>
      <c r="G9" s="9">
        <v>156</v>
      </c>
      <c r="H9" s="33">
        <f>Product_List[[#This Row],[Available Stock]]*Product_List[[#This Row],[Unit Price]]</f>
        <v>6240</v>
      </c>
    </row>
    <row r="10" spans="1:8" x14ac:dyDescent="0.25">
      <c r="A10" s="7">
        <v>9</v>
      </c>
      <c r="B10" s="8" t="s">
        <v>25</v>
      </c>
      <c r="C10" s="8" t="s">
        <v>39</v>
      </c>
      <c r="D10" s="8" t="s">
        <v>14</v>
      </c>
      <c r="E10" s="31">
        <v>80</v>
      </c>
      <c r="F10" s="9">
        <v>35</v>
      </c>
      <c r="G10" s="9">
        <v>12</v>
      </c>
      <c r="H10" s="33">
        <f>Product_List[[#This Row],[Available Stock]]*Product_List[[#This Row],[Unit Price]]</f>
        <v>960</v>
      </c>
    </row>
    <row r="11" spans="1:8" x14ac:dyDescent="0.25">
      <c r="A11" s="10">
        <v>10</v>
      </c>
      <c r="B11" s="8" t="s">
        <v>26</v>
      </c>
      <c r="C11" s="11" t="s">
        <v>27</v>
      </c>
      <c r="D11" s="8" t="s">
        <v>14</v>
      </c>
      <c r="E11" s="32">
        <v>50</v>
      </c>
      <c r="F11" s="9">
        <v>25</v>
      </c>
      <c r="G11" s="9">
        <v>12</v>
      </c>
      <c r="H11" s="33">
        <f>Product_List[[#This Row],[Available Stock]]*Product_List[[#This Row],[Unit Price]]</f>
        <v>600</v>
      </c>
    </row>
    <row r="12" spans="1:8" x14ac:dyDescent="0.25">
      <c r="H12" s="28"/>
    </row>
    <row r="13" spans="1:8" x14ac:dyDescent="0.25">
      <c r="A13"/>
      <c r="H13" s="45"/>
    </row>
    <row r="28" spans="1:1" x14ac:dyDescent="0.25">
      <c r="A28"/>
    </row>
    <row r="29" spans="1:1" x14ac:dyDescent="0.25">
      <c r="A29"/>
    </row>
    <row r="30" spans="1:1" x14ac:dyDescent="0.25">
      <c r="A30"/>
    </row>
    <row r="31" spans="1:1" x14ac:dyDescent="0.25">
      <c r="A31"/>
    </row>
    <row r="32" spans="1:1" x14ac:dyDescent="0.25">
      <c r="A32"/>
    </row>
    <row r="33" spans="1:1" x14ac:dyDescent="0.25">
      <c r="A33"/>
    </row>
    <row r="34" spans="1:1" x14ac:dyDescent="0.25">
      <c r="A34"/>
    </row>
    <row r="35" spans="1:1" x14ac:dyDescent="0.25">
      <c r="A35"/>
    </row>
    <row r="36" spans="1:1" x14ac:dyDescent="0.25">
      <c r="A3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5AF12-7B58-4D7E-861F-929F1F9D9238}">
  <sheetPr codeName="Sheet1"/>
  <dimension ref="A1:J26"/>
  <sheetViews>
    <sheetView showGridLines="0" zoomScale="115" zoomScaleNormal="115" workbookViewId="0">
      <selection activeCell="D22" sqref="D22"/>
    </sheetView>
  </sheetViews>
  <sheetFormatPr defaultRowHeight="15" x14ac:dyDescent="0.25"/>
  <cols>
    <col min="1" max="1" width="5.5703125" style="13" customWidth="1"/>
    <col min="2" max="2" width="12.85546875" style="13" bestFit="1" customWidth="1"/>
    <col min="3" max="3" width="10.5703125" customWidth="1"/>
    <col min="4" max="4" width="14.5703125" customWidth="1"/>
    <col min="5" max="5" width="16.28515625" customWidth="1"/>
    <col min="6" max="6" width="9.7109375" customWidth="1"/>
    <col min="7" max="7" width="14.28515625" customWidth="1"/>
    <col min="8" max="8" width="10.7109375" customWidth="1"/>
    <col min="10" max="10" width="15.28515625" style="26" bestFit="1" customWidth="1"/>
  </cols>
  <sheetData>
    <row r="1" spans="1:10" x14ac:dyDescent="0.25">
      <c r="A1" s="1" t="s">
        <v>0</v>
      </c>
      <c r="B1" s="1" t="s">
        <v>28</v>
      </c>
      <c r="C1" s="2" t="s">
        <v>1</v>
      </c>
      <c r="D1" s="2" t="s">
        <v>2</v>
      </c>
      <c r="E1" s="2" t="s">
        <v>3</v>
      </c>
      <c r="F1" s="3" t="s">
        <v>4</v>
      </c>
      <c r="G1" s="3" t="s">
        <v>29</v>
      </c>
      <c r="H1" s="2" t="s">
        <v>30</v>
      </c>
    </row>
    <row r="2" spans="1:10" x14ac:dyDescent="0.25">
      <c r="A2" s="14">
        <v>1</v>
      </c>
      <c r="B2" s="15">
        <v>43489</v>
      </c>
      <c r="C2" s="16" t="s">
        <v>8</v>
      </c>
      <c r="D2" s="16" t="s">
        <v>9</v>
      </c>
      <c r="E2" s="16" t="s">
        <v>40</v>
      </c>
      <c r="F2" s="9">
        <v>10</v>
      </c>
      <c r="G2" s="9">
        <v>250</v>
      </c>
      <c r="H2" s="17">
        <f>Stock_In[[#This Row],[Units Received]]*Stock_In[[#This Row],[Unit Price]]</f>
        <v>2500</v>
      </c>
      <c r="I2" s="18"/>
    </row>
    <row r="3" spans="1:10" x14ac:dyDescent="0.25">
      <c r="A3" s="14">
        <v>2</v>
      </c>
      <c r="B3" s="15">
        <v>43505</v>
      </c>
      <c r="C3" s="16" t="s">
        <v>10</v>
      </c>
      <c r="D3" s="16" t="s">
        <v>11</v>
      </c>
      <c r="E3" s="16" t="s">
        <v>40</v>
      </c>
      <c r="F3" s="9">
        <v>25</v>
      </c>
      <c r="G3" s="9">
        <v>300</v>
      </c>
      <c r="H3" s="17">
        <f>Stock_In[[#This Row],[Units Received]]*Stock_In[[#This Row],[Unit Price]]</f>
        <v>7500</v>
      </c>
      <c r="I3" s="18"/>
    </row>
    <row r="4" spans="1:10" x14ac:dyDescent="0.25">
      <c r="A4" s="14">
        <v>3</v>
      </c>
      <c r="B4" s="15">
        <v>43493</v>
      </c>
      <c r="C4" s="16" t="s">
        <v>12</v>
      </c>
      <c r="D4" s="16" t="s">
        <v>13</v>
      </c>
      <c r="E4" s="16" t="s">
        <v>14</v>
      </c>
      <c r="F4" s="9">
        <v>85</v>
      </c>
      <c r="G4" s="9">
        <v>50</v>
      </c>
      <c r="H4" s="17">
        <f>Stock_In[[#This Row],[Units Received]]*Stock_In[[#This Row],[Unit Price]]</f>
        <v>4250</v>
      </c>
      <c r="I4" s="18"/>
    </row>
    <row r="5" spans="1:10" x14ac:dyDescent="0.25">
      <c r="A5" s="14">
        <v>4</v>
      </c>
      <c r="B5" s="15">
        <v>43487</v>
      </c>
      <c r="C5" s="16" t="s">
        <v>15</v>
      </c>
      <c r="D5" s="16" t="s">
        <v>16</v>
      </c>
      <c r="E5" s="16" t="s">
        <v>17</v>
      </c>
      <c r="F5" s="9">
        <v>125</v>
      </c>
      <c r="G5" s="9">
        <v>50</v>
      </c>
      <c r="H5" s="17">
        <f>Stock_In[[#This Row],[Units Received]]*Stock_In[[#This Row],[Unit Price]]</f>
        <v>6250</v>
      </c>
      <c r="I5" s="18"/>
    </row>
    <row r="6" spans="1:10" x14ac:dyDescent="0.25">
      <c r="A6" s="14">
        <v>5</v>
      </c>
      <c r="B6" s="15">
        <v>43456</v>
      </c>
      <c r="C6" s="16" t="s">
        <v>18</v>
      </c>
      <c r="D6" s="16" t="s">
        <v>19</v>
      </c>
      <c r="E6" s="16" t="s">
        <v>17</v>
      </c>
      <c r="F6" s="9">
        <v>500</v>
      </c>
      <c r="G6" s="9">
        <v>25</v>
      </c>
      <c r="H6" s="17">
        <f>Stock_In[[#This Row],[Units Received]]*Stock_In[[#This Row],[Unit Price]]</f>
        <v>12500</v>
      </c>
      <c r="I6" s="18"/>
    </row>
    <row r="7" spans="1:10" x14ac:dyDescent="0.25">
      <c r="A7" s="14">
        <v>6</v>
      </c>
      <c r="B7" s="15">
        <v>43521</v>
      </c>
      <c r="C7" s="16" t="s">
        <v>20</v>
      </c>
      <c r="D7" s="16" t="s">
        <v>41</v>
      </c>
      <c r="E7" s="16" t="s">
        <v>17</v>
      </c>
      <c r="F7" s="9">
        <v>4500</v>
      </c>
      <c r="G7" s="9">
        <v>10</v>
      </c>
      <c r="H7" s="17">
        <f>Stock_In[[#This Row],[Units Received]]*Stock_In[[#This Row],[Unit Price]]</f>
        <v>45000</v>
      </c>
      <c r="I7" s="18"/>
    </row>
    <row r="8" spans="1:10" x14ac:dyDescent="0.25">
      <c r="A8" s="14">
        <v>7</v>
      </c>
      <c r="B8" s="15">
        <v>43478</v>
      </c>
      <c r="C8" s="16" t="s">
        <v>21</v>
      </c>
      <c r="D8" s="16" t="s">
        <v>22</v>
      </c>
      <c r="E8" s="16" t="s">
        <v>14</v>
      </c>
      <c r="F8" s="9">
        <v>60</v>
      </c>
      <c r="G8" s="9">
        <v>150</v>
      </c>
      <c r="H8" s="17">
        <f>Stock_In[[#This Row],[Units Received]]*Stock_In[[#This Row],[Unit Price]]</f>
        <v>9000</v>
      </c>
      <c r="I8" s="18"/>
    </row>
    <row r="9" spans="1:10" x14ac:dyDescent="0.25">
      <c r="A9" s="14">
        <v>8</v>
      </c>
      <c r="B9" s="15">
        <v>43456</v>
      </c>
      <c r="C9" s="16" t="s">
        <v>23</v>
      </c>
      <c r="D9" s="16" t="s">
        <v>24</v>
      </c>
      <c r="E9" s="16" t="s">
        <v>40</v>
      </c>
      <c r="F9" s="9">
        <v>40</v>
      </c>
      <c r="G9" s="9">
        <v>250</v>
      </c>
      <c r="H9" s="17">
        <f>Stock_In[[#This Row],[Units Received]]*Stock_In[[#This Row],[Unit Price]]</f>
        <v>10000</v>
      </c>
      <c r="I9" s="18"/>
    </row>
    <row r="10" spans="1:10" x14ac:dyDescent="0.25">
      <c r="A10" s="14">
        <v>9</v>
      </c>
      <c r="B10" s="15">
        <v>43472</v>
      </c>
      <c r="C10" s="16" t="s">
        <v>25</v>
      </c>
      <c r="D10" s="16" t="s">
        <v>39</v>
      </c>
      <c r="E10" s="16" t="s">
        <v>14</v>
      </c>
      <c r="F10" s="9">
        <v>80</v>
      </c>
      <c r="G10" s="9">
        <v>35</v>
      </c>
      <c r="H10" s="17">
        <f>Stock_In[[#This Row],[Units Received]]*Stock_In[[#This Row],[Unit Price]]</f>
        <v>2800</v>
      </c>
      <c r="I10" s="18"/>
    </row>
    <row r="11" spans="1:10" x14ac:dyDescent="0.25">
      <c r="A11" s="19">
        <v>10</v>
      </c>
      <c r="B11" s="20">
        <v>43501</v>
      </c>
      <c r="C11" s="16" t="s">
        <v>26</v>
      </c>
      <c r="D11" s="21" t="s">
        <v>27</v>
      </c>
      <c r="E11" s="16" t="s">
        <v>14</v>
      </c>
      <c r="F11" s="12">
        <v>50</v>
      </c>
      <c r="G11" s="12">
        <v>25</v>
      </c>
      <c r="H11" s="17">
        <f>Stock_In[[#This Row],[Units Received]]*Stock_In[[#This Row],[Unit Price]]</f>
        <v>1250</v>
      </c>
      <c r="I11" s="18"/>
    </row>
    <row r="15" spans="1:10" x14ac:dyDescent="0.25">
      <c r="A15"/>
      <c r="B15"/>
      <c r="D15" s="26"/>
      <c r="J15"/>
    </row>
    <row r="16" spans="1:10" x14ac:dyDescent="0.25">
      <c r="A16"/>
      <c r="B16"/>
      <c r="D16" s="26"/>
      <c r="J16"/>
    </row>
    <row r="17" spans="1:10" x14ac:dyDescent="0.25">
      <c r="A17"/>
      <c r="B17"/>
      <c r="D17" s="26"/>
      <c r="J17"/>
    </row>
    <row r="18" spans="1:10" x14ac:dyDescent="0.25">
      <c r="A18"/>
      <c r="B18"/>
      <c r="D18" s="26"/>
      <c r="J18"/>
    </row>
    <row r="19" spans="1:10" x14ac:dyDescent="0.25">
      <c r="A19"/>
      <c r="B19"/>
      <c r="D19" s="26"/>
      <c r="J19"/>
    </row>
    <row r="20" spans="1:10" x14ac:dyDescent="0.25">
      <c r="A20"/>
      <c r="B20"/>
      <c r="D20" s="26"/>
      <c r="J20"/>
    </row>
    <row r="21" spans="1:10" x14ac:dyDescent="0.25">
      <c r="A21"/>
      <c r="B21"/>
      <c r="D21" s="26"/>
      <c r="J21"/>
    </row>
    <row r="22" spans="1:10" x14ac:dyDescent="0.25">
      <c r="A22"/>
      <c r="B22"/>
      <c r="D22" s="26"/>
      <c r="J22"/>
    </row>
    <row r="23" spans="1:10" x14ac:dyDescent="0.25">
      <c r="A23"/>
      <c r="B23"/>
      <c r="D23" s="26"/>
      <c r="J23"/>
    </row>
    <row r="24" spans="1:10" x14ac:dyDescent="0.25">
      <c r="A24"/>
      <c r="B24"/>
      <c r="D24" s="26"/>
      <c r="J24"/>
    </row>
    <row r="25" spans="1:10" x14ac:dyDescent="0.25">
      <c r="A25"/>
      <c r="B25"/>
      <c r="D25" s="26"/>
      <c r="J25"/>
    </row>
    <row r="26" spans="1:10" x14ac:dyDescent="0.25">
      <c r="A26"/>
      <c r="B26"/>
      <c r="D26" s="26"/>
      <c r="J2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29C58-6FF6-40FE-B2DB-0105E2EF9019}">
  <sheetPr codeName="Sheet3"/>
  <dimension ref="A1:H21"/>
  <sheetViews>
    <sheetView showGridLines="0" zoomScale="85" zoomScaleNormal="85" workbookViewId="0">
      <selection activeCell="E30" sqref="E30"/>
    </sheetView>
  </sheetViews>
  <sheetFormatPr defaultRowHeight="15" x14ac:dyDescent="0.25"/>
  <cols>
    <col min="1" max="1" width="5.7109375" style="13" bestFit="1" customWidth="1"/>
    <col min="2" max="2" width="11.28515625" style="13" bestFit="1" customWidth="1"/>
    <col min="3" max="3" width="10.42578125" bestFit="1" customWidth="1"/>
    <col min="4" max="4" width="15.28515625" bestFit="1" customWidth="1"/>
    <col min="5" max="5" width="16.42578125" bestFit="1" customWidth="1"/>
    <col min="6" max="6" width="9.7109375" customWidth="1"/>
    <col min="7" max="7" width="10.28515625" customWidth="1"/>
    <col min="8" max="8" width="10.5703125" customWidth="1"/>
    <col min="10" max="10" width="13.140625" bestFit="1" customWidth="1"/>
  </cols>
  <sheetData>
    <row r="1" spans="1:8" x14ac:dyDescent="0.25">
      <c r="A1" s="1" t="s">
        <v>0</v>
      </c>
      <c r="B1" s="1" t="s">
        <v>28</v>
      </c>
      <c r="C1" s="2" t="s">
        <v>1</v>
      </c>
      <c r="D1" s="2" t="s">
        <v>2</v>
      </c>
      <c r="E1" s="2" t="s">
        <v>3</v>
      </c>
      <c r="F1" s="3" t="s">
        <v>4</v>
      </c>
      <c r="G1" s="3" t="s">
        <v>31</v>
      </c>
      <c r="H1" s="2" t="s">
        <v>30</v>
      </c>
    </row>
    <row r="2" spans="1:8" x14ac:dyDescent="0.25">
      <c r="A2" s="14">
        <v>1</v>
      </c>
      <c r="B2" s="22">
        <v>43478</v>
      </c>
      <c r="C2" s="16" t="s">
        <v>8</v>
      </c>
      <c r="D2" s="16" t="s">
        <v>9</v>
      </c>
      <c r="E2" s="16" t="s">
        <v>40</v>
      </c>
      <c r="F2" s="38">
        <v>10</v>
      </c>
      <c r="G2" s="17">
        <v>106</v>
      </c>
      <c r="H2" s="17">
        <f>Stock_Out[[#This Row],[Units Sold]]*Stock_Out[[#This Row],[Unit Price]]</f>
        <v>1060</v>
      </c>
    </row>
    <row r="3" spans="1:8" x14ac:dyDescent="0.25">
      <c r="A3" s="14">
        <v>2</v>
      </c>
      <c r="B3" s="22">
        <v>43512</v>
      </c>
      <c r="C3" s="16" t="s">
        <v>10</v>
      </c>
      <c r="D3" s="16" t="s">
        <v>11</v>
      </c>
      <c r="E3" s="16" t="s">
        <v>40</v>
      </c>
      <c r="F3" s="17">
        <v>25</v>
      </c>
      <c r="G3" s="17">
        <v>51</v>
      </c>
      <c r="H3" s="17">
        <f>Stock_Out[[#This Row],[Units Sold]]*Stock_Out[[#This Row],[Unit Price]]</f>
        <v>1275</v>
      </c>
    </row>
    <row r="4" spans="1:8" x14ac:dyDescent="0.25">
      <c r="A4" s="14">
        <v>3</v>
      </c>
      <c r="B4" s="22">
        <v>43481</v>
      </c>
      <c r="C4" s="16" t="s">
        <v>12</v>
      </c>
      <c r="D4" s="16" t="s">
        <v>13</v>
      </c>
      <c r="E4" s="16" t="s">
        <v>14</v>
      </c>
      <c r="F4" s="17">
        <v>85</v>
      </c>
      <c r="G4" s="17">
        <v>10</v>
      </c>
      <c r="H4" s="17">
        <f>Stock_Out[[#This Row],[Units Sold]]*Stock_Out[[#This Row],[Unit Price]]</f>
        <v>850</v>
      </c>
    </row>
    <row r="5" spans="1:8" x14ac:dyDescent="0.25">
      <c r="A5" s="14">
        <v>4</v>
      </c>
      <c r="B5" s="22">
        <v>43486</v>
      </c>
      <c r="C5" s="16" t="s">
        <v>15</v>
      </c>
      <c r="D5" s="16" t="s">
        <v>16</v>
      </c>
      <c r="E5" s="16" t="s">
        <v>17</v>
      </c>
      <c r="F5" s="17">
        <v>125</v>
      </c>
      <c r="G5" s="17">
        <v>28</v>
      </c>
      <c r="H5" s="17">
        <f>Stock_Out[[#This Row],[Units Sold]]*Stock_Out[[#This Row],[Unit Price]]</f>
        <v>3500</v>
      </c>
    </row>
    <row r="6" spans="1:8" x14ac:dyDescent="0.25">
      <c r="A6" s="14">
        <v>5</v>
      </c>
      <c r="B6" s="22">
        <v>43477</v>
      </c>
      <c r="C6" s="16" t="s">
        <v>18</v>
      </c>
      <c r="D6" s="16" t="s">
        <v>19</v>
      </c>
      <c r="E6" s="16" t="s">
        <v>17</v>
      </c>
      <c r="F6" s="17">
        <v>500</v>
      </c>
      <c r="G6" s="17">
        <v>9</v>
      </c>
      <c r="H6" s="17">
        <f>Stock_Out[[#This Row],[Units Sold]]*Stock_Out[[#This Row],[Unit Price]]</f>
        <v>4500</v>
      </c>
    </row>
    <row r="7" spans="1:8" x14ac:dyDescent="0.25">
      <c r="A7" s="14">
        <v>6</v>
      </c>
      <c r="B7" s="22">
        <v>43466</v>
      </c>
      <c r="C7" s="16" t="s">
        <v>20</v>
      </c>
      <c r="D7" s="16" t="s">
        <v>41</v>
      </c>
      <c r="E7" s="16" t="s">
        <v>17</v>
      </c>
      <c r="F7" s="17">
        <v>4500</v>
      </c>
      <c r="G7" s="17">
        <v>4</v>
      </c>
      <c r="H7" s="17">
        <f>Stock_Out[[#This Row],[Units Sold]]*Stock_Out[[#This Row],[Unit Price]]</f>
        <v>18000</v>
      </c>
    </row>
    <row r="8" spans="1:8" x14ac:dyDescent="0.25">
      <c r="A8" s="14">
        <v>7</v>
      </c>
      <c r="B8" s="22">
        <v>43495</v>
      </c>
      <c r="C8" s="16" t="s">
        <v>21</v>
      </c>
      <c r="D8" s="16" t="s">
        <v>22</v>
      </c>
      <c r="E8" s="16" t="s">
        <v>14</v>
      </c>
      <c r="F8" s="17">
        <v>60</v>
      </c>
      <c r="G8" s="17">
        <v>83</v>
      </c>
      <c r="H8" s="17">
        <f>Stock_Out[[#This Row],[Units Sold]]*Stock_Out[[#This Row],[Unit Price]]</f>
        <v>4980</v>
      </c>
    </row>
    <row r="9" spans="1:8" x14ac:dyDescent="0.25">
      <c r="A9" s="14">
        <v>8</v>
      </c>
      <c r="B9" s="22">
        <v>43520</v>
      </c>
      <c r="C9" s="16" t="s">
        <v>23</v>
      </c>
      <c r="D9" s="16" t="s">
        <v>24</v>
      </c>
      <c r="E9" s="16" t="s">
        <v>40</v>
      </c>
      <c r="F9" s="17">
        <v>40</v>
      </c>
      <c r="G9" s="17">
        <v>45</v>
      </c>
      <c r="H9" s="17">
        <f>Stock_Out[[#This Row],[Units Sold]]*Stock_Out[[#This Row],[Unit Price]]</f>
        <v>1800</v>
      </c>
    </row>
    <row r="10" spans="1:8" x14ac:dyDescent="0.25">
      <c r="A10" s="14">
        <v>9</v>
      </c>
      <c r="B10" s="22">
        <v>43467</v>
      </c>
      <c r="C10" s="16" t="s">
        <v>25</v>
      </c>
      <c r="D10" s="16" t="s">
        <v>39</v>
      </c>
      <c r="E10" s="16" t="s">
        <v>14</v>
      </c>
      <c r="F10" s="17">
        <v>80</v>
      </c>
      <c r="G10" s="17">
        <v>13</v>
      </c>
      <c r="H10" s="17">
        <f>Stock_Out[[#This Row],[Units Sold]]*Stock_Out[[#This Row],[Unit Price]]</f>
        <v>1040</v>
      </c>
    </row>
    <row r="11" spans="1:8" x14ac:dyDescent="0.25">
      <c r="A11" s="14">
        <v>10</v>
      </c>
      <c r="B11" s="22">
        <v>43466</v>
      </c>
      <c r="C11" s="16" t="s">
        <v>26</v>
      </c>
      <c r="D11" s="21" t="s">
        <v>27</v>
      </c>
      <c r="E11" s="16" t="s">
        <v>14</v>
      </c>
      <c r="F11" s="23">
        <v>50</v>
      </c>
      <c r="G11" s="23">
        <v>3</v>
      </c>
      <c r="H11" s="17">
        <f>Stock_Out[[#This Row],[Units Sold]]*Stock_Out[[#This Row],[Unit Price]]</f>
        <v>150</v>
      </c>
    </row>
    <row r="12" spans="1:8" x14ac:dyDescent="0.25">
      <c r="A12" s="14">
        <v>11</v>
      </c>
      <c r="B12" s="22">
        <v>43468</v>
      </c>
      <c r="C12" s="16" t="s">
        <v>8</v>
      </c>
      <c r="D12" s="16" t="s">
        <v>9</v>
      </c>
      <c r="E12" s="16" t="s">
        <v>40</v>
      </c>
      <c r="F12" s="17">
        <v>10</v>
      </c>
      <c r="G12" s="17">
        <v>140</v>
      </c>
      <c r="H12" s="17">
        <f>Stock_Out[[#This Row],[Units Sold]]*Stock_Out[[#This Row],[Unit Price]]</f>
        <v>1400</v>
      </c>
    </row>
    <row r="13" spans="1:8" x14ac:dyDescent="0.25">
      <c r="A13" s="14">
        <v>12</v>
      </c>
      <c r="B13" s="22">
        <v>43489</v>
      </c>
      <c r="C13" s="16" t="s">
        <v>10</v>
      </c>
      <c r="D13" s="16" t="s">
        <v>11</v>
      </c>
      <c r="E13" s="16" t="s">
        <v>40</v>
      </c>
      <c r="F13" s="17">
        <v>25</v>
      </c>
      <c r="G13" s="17">
        <v>243</v>
      </c>
      <c r="H13" s="17">
        <f>Stock_Out[[#This Row],[Units Sold]]*Stock_Out[[#This Row],[Unit Price]]</f>
        <v>6075</v>
      </c>
    </row>
    <row r="14" spans="1:8" x14ac:dyDescent="0.25">
      <c r="A14" s="14">
        <v>13</v>
      </c>
      <c r="B14" s="22">
        <v>43521</v>
      </c>
      <c r="C14" s="16" t="s">
        <v>12</v>
      </c>
      <c r="D14" s="16" t="s">
        <v>13</v>
      </c>
      <c r="E14" s="16" t="s">
        <v>14</v>
      </c>
      <c r="F14" s="17">
        <v>85</v>
      </c>
      <c r="G14" s="17">
        <v>11</v>
      </c>
      <c r="H14" s="17">
        <f>Stock_Out[[#This Row],[Units Sold]]*Stock_Out[[#This Row],[Unit Price]]</f>
        <v>935</v>
      </c>
    </row>
    <row r="15" spans="1:8" x14ac:dyDescent="0.25">
      <c r="A15" s="14">
        <v>14</v>
      </c>
      <c r="B15" s="22">
        <v>43478</v>
      </c>
      <c r="C15" s="16" t="s">
        <v>15</v>
      </c>
      <c r="D15" s="16" t="s">
        <v>16</v>
      </c>
      <c r="E15" s="16" t="s">
        <v>17</v>
      </c>
      <c r="F15" s="17">
        <v>125</v>
      </c>
      <c r="G15" s="17">
        <v>19</v>
      </c>
      <c r="H15" s="17">
        <f>Stock_Out[[#This Row],[Units Sold]]*Stock_Out[[#This Row],[Unit Price]]</f>
        <v>2375</v>
      </c>
    </row>
    <row r="16" spans="1:8" x14ac:dyDescent="0.25">
      <c r="A16" s="14">
        <v>15</v>
      </c>
      <c r="B16" s="22">
        <v>43476</v>
      </c>
      <c r="C16" s="16" t="s">
        <v>18</v>
      </c>
      <c r="D16" s="16" t="s">
        <v>19</v>
      </c>
      <c r="E16" s="16" t="s">
        <v>17</v>
      </c>
      <c r="F16" s="17">
        <v>500</v>
      </c>
      <c r="G16" s="17">
        <v>9</v>
      </c>
      <c r="H16" s="17">
        <f>Stock_Out[[#This Row],[Units Sold]]*Stock_Out[[#This Row],[Unit Price]]</f>
        <v>4500</v>
      </c>
    </row>
    <row r="17" spans="1:8" x14ac:dyDescent="0.25">
      <c r="A17" s="14">
        <v>16</v>
      </c>
      <c r="B17" s="22">
        <v>43513</v>
      </c>
      <c r="C17" s="16" t="s">
        <v>20</v>
      </c>
      <c r="D17" s="16" t="s">
        <v>41</v>
      </c>
      <c r="E17" s="16" t="s">
        <v>17</v>
      </c>
      <c r="F17" s="17">
        <v>4500</v>
      </c>
      <c r="G17" s="17">
        <v>2</v>
      </c>
      <c r="H17" s="17">
        <f>Stock_Out[[#This Row],[Units Sold]]*Stock_Out[[#This Row],[Unit Price]]</f>
        <v>9000</v>
      </c>
    </row>
    <row r="18" spans="1:8" x14ac:dyDescent="0.25">
      <c r="A18" s="14">
        <v>17</v>
      </c>
      <c r="B18" s="22">
        <v>43491</v>
      </c>
      <c r="C18" s="16" t="s">
        <v>21</v>
      </c>
      <c r="D18" s="16" t="s">
        <v>22</v>
      </c>
      <c r="E18" s="16" t="s">
        <v>14</v>
      </c>
      <c r="F18" s="17">
        <v>60</v>
      </c>
      <c r="G18" s="17">
        <v>48</v>
      </c>
      <c r="H18" s="17">
        <f>Stock_Out[[#This Row],[Units Sold]]*Stock_Out[[#This Row],[Unit Price]]</f>
        <v>2880</v>
      </c>
    </row>
    <row r="19" spans="1:8" x14ac:dyDescent="0.25">
      <c r="A19" s="14">
        <v>18</v>
      </c>
      <c r="B19" s="22">
        <v>43467</v>
      </c>
      <c r="C19" s="16" t="s">
        <v>23</v>
      </c>
      <c r="D19" s="16" t="s">
        <v>24</v>
      </c>
      <c r="E19" s="16" t="s">
        <v>40</v>
      </c>
      <c r="F19" s="17">
        <v>40</v>
      </c>
      <c r="G19" s="17">
        <v>49</v>
      </c>
      <c r="H19" s="17">
        <f>Stock_Out[[#This Row],[Units Sold]]*Stock_Out[[#This Row],[Unit Price]]</f>
        <v>1960</v>
      </c>
    </row>
    <row r="20" spans="1:8" x14ac:dyDescent="0.25">
      <c r="A20" s="14">
        <v>19</v>
      </c>
      <c r="B20" s="22">
        <v>43494</v>
      </c>
      <c r="C20" s="16" t="s">
        <v>25</v>
      </c>
      <c r="D20" s="16" t="s">
        <v>39</v>
      </c>
      <c r="E20" s="16" t="s">
        <v>14</v>
      </c>
      <c r="F20" s="17">
        <v>80</v>
      </c>
      <c r="G20" s="17">
        <v>10</v>
      </c>
      <c r="H20" s="17">
        <f>Stock_Out[[#This Row],[Units Sold]]*Stock_Out[[#This Row],[Unit Price]]</f>
        <v>800</v>
      </c>
    </row>
    <row r="21" spans="1:8" x14ac:dyDescent="0.25">
      <c r="A21" s="14">
        <v>20</v>
      </c>
      <c r="B21" s="24">
        <v>43488</v>
      </c>
      <c r="C21" s="21" t="s">
        <v>26</v>
      </c>
      <c r="D21" s="21" t="s">
        <v>27</v>
      </c>
      <c r="E21" s="21" t="s">
        <v>14</v>
      </c>
      <c r="F21" s="23">
        <v>50</v>
      </c>
      <c r="G21" s="23">
        <v>10</v>
      </c>
      <c r="H21" s="23">
        <f>Stock_Out[[#This Row],[Units Sold]]*Stock_Out[[#This Row],[Unit Price]]</f>
        <v>500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DF5E6-5A9E-436D-BF2F-0E7DABA84358}">
  <sheetPr codeName="Sheet4"/>
  <dimension ref="A1:N90"/>
  <sheetViews>
    <sheetView topLeftCell="E32" zoomScale="145" zoomScaleNormal="145" workbookViewId="0">
      <selection activeCell="G44" sqref="G44"/>
    </sheetView>
  </sheetViews>
  <sheetFormatPr defaultRowHeight="15" x14ac:dyDescent="0.25"/>
  <cols>
    <col min="1" max="1" width="15.5703125" bestFit="1" customWidth="1"/>
    <col min="2" max="2" width="11.42578125" bestFit="1" customWidth="1"/>
    <col min="3" max="3" width="13.85546875" style="29" customWidth="1"/>
    <col min="4" max="4" width="15" style="29" bestFit="1" customWidth="1"/>
    <col min="5" max="5" width="16.140625" style="29" bestFit="1" customWidth="1"/>
    <col min="6" max="6" width="11.5703125" style="29" bestFit="1" customWidth="1"/>
    <col min="7" max="7" width="13.7109375" style="29" bestFit="1" customWidth="1"/>
    <col min="8" max="8" width="15" style="29" bestFit="1" customWidth="1"/>
    <col min="9" max="9" width="11.5703125" style="29" bestFit="1" customWidth="1"/>
    <col min="10" max="10" width="6" bestFit="1" customWidth="1"/>
    <col min="11" max="12" width="13.7109375" bestFit="1" customWidth="1"/>
  </cols>
  <sheetData>
    <row r="1" spans="1:14" x14ac:dyDescent="0.25">
      <c r="B1" t="s">
        <v>42</v>
      </c>
      <c r="C1" s="30" t="s">
        <v>33</v>
      </c>
      <c r="D1" s="29" t="s">
        <v>32</v>
      </c>
      <c r="E1" s="30" t="s">
        <v>35</v>
      </c>
      <c r="G1" s="30" t="s">
        <v>33</v>
      </c>
      <c r="H1" s="29" t="s">
        <v>32</v>
      </c>
    </row>
    <row r="2" spans="1:14" x14ac:dyDescent="0.25">
      <c r="B2" s="27" t="s">
        <v>40</v>
      </c>
      <c r="C2" s="34">
        <f>SUMIFS(Stock_In[Units Received],Stock_In[Product Category],B2)</f>
        <v>800</v>
      </c>
      <c r="D2" s="34">
        <f>SUMIFS(Stock_Out[Units Sold],Stock_Out[Product Category],B2)</f>
        <v>634</v>
      </c>
      <c r="E2">
        <f>SUMIF(Product_List[Product Category],'ref&amp;calc'!B2,Product_List[Available Stock])</f>
        <v>166</v>
      </c>
      <c r="F2" s="29">
        <f>D2/C2</f>
        <v>0.79249999999999998</v>
      </c>
      <c r="G2" s="35">
        <f>SUMIFS(Stock_In[Total Value],Stock_In[Product Category],B2)</f>
        <v>20000</v>
      </c>
      <c r="H2" s="36">
        <f>SUMIFS(Stock_Out[Total Value],Stock_Out[Product Category],B2)</f>
        <v>13570</v>
      </c>
      <c r="I2" s="36">
        <f>G2-H2</f>
        <v>6430</v>
      </c>
      <c r="L2">
        <v>166</v>
      </c>
    </row>
    <row r="3" spans="1:14" x14ac:dyDescent="0.25">
      <c r="B3" s="27" t="s">
        <v>17</v>
      </c>
      <c r="C3" s="34">
        <f>SUMIFS(Stock_In[Units Received],Stock_In[Product Category],B3)</f>
        <v>85</v>
      </c>
      <c r="D3" s="34">
        <f>SUMIFS(Stock_Out[Units Sold],Stock_Out[Product Category],B3)</f>
        <v>71</v>
      </c>
      <c r="E3">
        <f>SUMIF(Product_List[Product Category],'ref&amp;calc'!B3,Product_List[Available Stock])</f>
        <v>14</v>
      </c>
      <c r="F3" s="29">
        <f>D3/C3</f>
        <v>0.83529411764705885</v>
      </c>
      <c r="G3" s="35">
        <f>SUMIFS(Stock_In[Total Value],Stock_In[Product Category],B3)</f>
        <v>63750</v>
      </c>
      <c r="H3" s="36">
        <f>SUMIFS(Stock_Out[Total Value],Stock_Out[Product Category],B3)</f>
        <v>41875</v>
      </c>
      <c r="I3" s="36">
        <f>G3-H3</f>
        <v>21875</v>
      </c>
      <c r="L3">
        <v>14</v>
      </c>
    </row>
    <row r="4" spans="1:14" x14ac:dyDescent="0.25">
      <c r="B4" t="s">
        <v>14</v>
      </c>
      <c r="C4" s="34">
        <f>SUMIFS(Stock_In[Units Received],Stock_In[Product Category],B4)</f>
        <v>260</v>
      </c>
      <c r="D4" s="34">
        <f>SUMIFS(Stock_Out[Units Sold],Stock_Out[Product Category],B4)</f>
        <v>188</v>
      </c>
      <c r="E4">
        <f>SUMIF(Product_List[Product Category],'ref&amp;calc'!B4,Product_List[Available Stock])</f>
        <v>72</v>
      </c>
      <c r="F4" s="29">
        <f>D4/C4</f>
        <v>0.72307692307692306</v>
      </c>
      <c r="G4" s="35">
        <f>SUMIFS(Stock_In[Total Value],Stock_In[Product Category],B4)</f>
        <v>17300</v>
      </c>
      <c r="H4" s="36">
        <f>SUMIFS(Stock_Out[Total Value],Stock_Out[Product Category],B4)</f>
        <v>12135</v>
      </c>
      <c r="I4" s="36">
        <f>G4-H4</f>
        <v>5165</v>
      </c>
      <c r="L4">
        <v>72</v>
      </c>
    </row>
    <row r="5" spans="1:14" x14ac:dyDescent="0.25">
      <c r="C5" s="37">
        <f t="shared" ref="C5:D5" si="0">SUM(C2:C4)</f>
        <v>1145</v>
      </c>
      <c r="D5" s="37">
        <f t="shared" si="0"/>
        <v>893</v>
      </c>
      <c r="E5" s="37">
        <f>SUM(E2:E4)</f>
        <v>252</v>
      </c>
      <c r="F5" s="29" t="s">
        <v>34</v>
      </c>
      <c r="G5" s="35">
        <f>SUM(G2:G4)</f>
        <v>101050</v>
      </c>
      <c r="H5" s="35">
        <f>SUM(H2:H4)</f>
        <v>67580</v>
      </c>
      <c r="I5" s="36">
        <f>G5-H5</f>
        <v>33470</v>
      </c>
    </row>
    <row r="6" spans="1:14" x14ac:dyDescent="0.25">
      <c r="B6" s="27"/>
      <c r="C6" s="34"/>
      <c r="D6" s="34"/>
      <c r="G6" s="35"/>
      <c r="H6" s="35"/>
      <c r="I6" s="36"/>
    </row>
    <row r="7" spans="1:14" x14ac:dyDescent="0.25">
      <c r="A7" s="43" t="s">
        <v>36</v>
      </c>
      <c r="B7" t="s">
        <v>37</v>
      </c>
      <c r="C7" t="s">
        <v>38</v>
      </c>
      <c r="D7" t="s">
        <v>46</v>
      </c>
      <c r="E7" t="s">
        <v>47</v>
      </c>
      <c r="F7" s="29" t="s">
        <v>82</v>
      </c>
      <c r="G7" s="45" t="s">
        <v>51</v>
      </c>
      <c r="H7" s="30" t="s">
        <v>35</v>
      </c>
      <c r="I7" s="30" t="s">
        <v>33</v>
      </c>
      <c r="J7" s="29" t="s">
        <v>32</v>
      </c>
    </row>
    <row r="8" spans="1:14" x14ac:dyDescent="0.25">
      <c r="A8" s="26" t="s">
        <v>24</v>
      </c>
      <c r="B8" s="44">
        <v>250</v>
      </c>
      <c r="C8" s="44">
        <v>156</v>
      </c>
      <c r="D8" s="29" t="s">
        <v>40</v>
      </c>
      <c r="E8" s="26" t="str">
        <f>A8</f>
        <v>Body Soap</v>
      </c>
      <c r="F8" s="52">
        <f>MATCH(E8,Stock_In[Product Name],0)</f>
        <v>8</v>
      </c>
      <c r="G8" s="45">
        <f>SUMIF(Product_List[Product Name],bodysoap,Product_List[Available Stock Value])</f>
        <v>6240</v>
      </c>
      <c r="H8" s="44">
        <f>SUMIF(Product_List[Product Name],bodysoap,Product_List[Available Stock])</f>
        <v>156</v>
      </c>
      <c r="I8">
        <f>SUMIF(Stock_In[Product Name],bodysoap,Stock_In[Units Received])</f>
        <v>250</v>
      </c>
      <c r="J8">
        <f>SUMIF(Stock_Out[Product Name],bodysoap,Stock_Out[Units Sold])</f>
        <v>94</v>
      </c>
      <c r="K8" s="45">
        <f>SUMIF(Stock_Out[Product Name],bodysoap,Stock_Out[Total Value])</f>
        <v>3760</v>
      </c>
      <c r="L8" s="48" t="b">
        <f>IF(COUNT($E$9:$E$17)=9,TRUE,FALSE)</f>
        <v>0</v>
      </c>
      <c r="M8" t="b">
        <f>IF(H8&lt;I8,TRUE,FALSE)</f>
        <v>1</v>
      </c>
      <c r="N8" s="49"/>
    </row>
    <row r="9" spans="1:14" x14ac:dyDescent="0.25">
      <c r="A9" s="26" t="s">
        <v>16</v>
      </c>
      <c r="B9" s="44">
        <v>50</v>
      </c>
      <c r="C9" s="44">
        <v>3</v>
      </c>
      <c r="D9" s="29" t="s">
        <v>17</v>
      </c>
      <c r="E9" s="26" t="str">
        <f t="shared" ref="E9:E17" si="1">A9</f>
        <v>Broom</v>
      </c>
      <c r="G9" s="45">
        <f>SUMIF(Product_List[Product Name],broom,Product_List[Available Stock Value])</f>
        <v>375</v>
      </c>
      <c r="H9" s="44">
        <f>SUMIF(Product_List[Product Name],broom,Product_List[Available Stock])</f>
        <v>3</v>
      </c>
      <c r="I9">
        <f>SUMIF(Stock_In[Product Name],broom,Stock_In[Units Received])</f>
        <v>50</v>
      </c>
      <c r="J9">
        <f>SUMIF(Stock_Out[Product Name],broom,Stock_Out[Units Sold])</f>
        <v>47</v>
      </c>
      <c r="K9" s="45">
        <f>SUMIF(Stock_Out[Product Name],broom,Stock_Out[Total Value])</f>
        <v>5875</v>
      </c>
      <c r="L9" s="48"/>
      <c r="N9" s="49"/>
    </row>
    <row r="10" spans="1:14" x14ac:dyDescent="0.25">
      <c r="A10" s="26" t="s">
        <v>19</v>
      </c>
      <c r="B10" s="44">
        <v>25</v>
      </c>
      <c r="C10" s="44">
        <v>7</v>
      </c>
      <c r="D10" s="29" t="s">
        <v>17</v>
      </c>
      <c r="E10" s="26" t="str">
        <f t="shared" si="1"/>
        <v>Bucket</v>
      </c>
      <c r="G10" s="45">
        <f>SUMIF(Product_List[Product Name],bucket,Product_List[Available Stock Value])</f>
        <v>3500</v>
      </c>
      <c r="H10" s="44">
        <f>SUMIF(Product_List[Product Name],bucket,Product_List[Available Stock])</f>
        <v>7</v>
      </c>
      <c r="I10">
        <f>SUMIF(Stock_In[Product Name],bucket,Stock_In[Units Received])</f>
        <v>25</v>
      </c>
      <c r="J10">
        <f>SUMIF(Stock_Out[Product Name],bucket,Stock_Out[Units Sold])</f>
        <v>18</v>
      </c>
      <c r="K10" s="45">
        <f>SUMIF(Stock_Out[Product Name],bucket,Stock_Out[Total Value])</f>
        <v>9000</v>
      </c>
      <c r="L10" s="48"/>
      <c r="N10" s="49"/>
    </row>
    <row r="11" spans="1:14" x14ac:dyDescent="0.25">
      <c r="A11" s="26" t="s">
        <v>9</v>
      </c>
      <c r="B11" s="44">
        <v>250</v>
      </c>
      <c r="C11" s="44">
        <v>4</v>
      </c>
      <c r="D11" s="29" t="s">
        <v>40</v>
      </c>
      <c r="E11" s="26" t="str">
        <f t="shared" si="1"/>
        <v>Detergents</v>
      </c>
      <c r="G11" s="45">
        <f>SUMIF(Product_List[Product Name],detergents,Product_List[Available Stock Value])</f>
        <v>40</v>
      </c>
      <c r="H11" s="44">
        <f>SUMIF(Product_List[Product Name],detergents,Product_List[Available Stock])</f>
        <v>4</v>
      </c>
      <c r="I11">
        <f>SUMIF(Stock_In[Product Name],detergents,Stock_In[Units Received])</f>
        <v>250</v>
      </c>
      <c r="J11">
        <f>SUMIF(Stock_Out[Product Name],detergents,Stock_Out[Units Sold])</f>
        <v>246</v>
      </c>
      <c r="K11" s="45">
        <f>SUMIF(Stock_Out[Product Name],detergents,Stock_Out[Total Value])</f>
        <v>2460</v>
      </c>
      <c r="L11" s="48"/>
      <c r="N11" s="49"/>
    </row>
    <row r="12" spans="1:14" x14ac:dyDescent="0.25">
      <c r="A12" s="26" t="s">
        <v>22</v>
      </c>
      <c r="B12" s="44">
        <v>150</v>
      </c>
      <c r="C12" s="44">
        <v>19</v>
      </c>
      <c r="D12" s="29" t="s">
        <v>14</v>
      </c>
      <c r="E12" s="26" t="str">
        <f t="shared" si="1"/>
        <v>Knife</v>
      </c>
      <c r="G12" s="45">
        <f>SUMIF(Product_List[Product Name],knife,Product_List[Available Stock Value])</f>
        <v>1140</v>
      </c>
      <c r="H12" s="44">
        <f>SUMIF(Product_List[Product Name],knife,Product_List[Available Stock])</f>
        <v>19</v>
      </c>
      <c r="I12">
        <f>SUMIF(Stock_In[Product Name],knife,Stock_In[Units Received])</f>
        <v>150</v>
      </c>
      <c r="J12">
        <f>SUMIF(Stock_Out[Product Name],knife,Stock_Out[Units Sold])</f>
        <v>131</v>
      </c>
      <c r="K12" s="45">
        <f>SUMIF(Stock_Out[Product Name],knife,Stock_Out[Total Value])</f>
        <v>7860</v>
      </c>
      <c r="L12" s="48"/>
      <c r="N12" s="49"/>
    </row>
    <row r="13" spans="1:14" x14ac:dyDescent="0.25">
      <c r="A13" s="26" t="s">
        <v>27</v>
      </c>
      <c r="B13" s="44">
        <v>25</v>
      </c>
      <c r="C13" s="44">
        <v>12</v>
      </c>
      <c r="D13" s="29" t="s">
        <v>14</v>
      </c>
      <c r="E13" s="26" t="str">
        <f t="shared" si="1"/>
        <v>Rice</v>
      </c>
      <c r="G13" s="45">
        <f>SUMIF(Product_List[Product Name],rice,Product_List[Available Stock Value])</f>
        <v>600</v>
      </c>
      <c r="H13" s="44">
        <f>SUMIF(Product_List[Product Name],rice,Product_List[Available Stock])</f>
        <v>12</v>
      </c>
      <c r="I13">
        <f>SUMIF(Stock_In[Product Name],rice,Stock_In[Units Received])</f>
        <v>25</v>
      </c>
      <c r="J13">
        <f>SUMIF(Stock_Out[Product Name],rice,Stock_Out[Units Sold])</f>
        <v>13</v>
      </c>
      <c r="K13" s="45">
        <f>SUMIF(Stock_Out[Product Name],rice,Stock_Out[Total Value])</f>
        <v>650</v>
      </c>
      <c r="L13" s="49" t="s">
        <v>49</v>
      </c>
      <c r="N13" s="49"/>
    </row>
    <row r="14" spans="1:14" x14ac:dyDescent="0.25">
      <c r="A14" s="26" t="s">
        <v>13</v>
      </c>
      <c r="B14" s="44">
        <v>50</v>
      </c>
      <c r="C14" s="44">
        <v>29</v>
      </c>
      <c r="D14" s="29" t="s">
        <v>14</v>
      </c>
      <c r="E14" s="26" t="str">
        <f t="shared" si="1"/>
        <v>Sun Flower Oil</v>
      </c>
      <c r="G14" s="45">
        <f>SUMIF(Product_List[Product Name],sun,Product_List[Available Stock Value])</f>
        <v>2465</v>
      </c>
      <c r="H14" s="44">
        <f>SUMIF(Product_List[Product Name],sun,Product_List[Available Stock])</f>
        <v>29</v>
      </c>
      <c r="I14">
        <f>SUMIF(Stock_In[Product Name],sun,Stock_In[Units Received])</f>
        <v>50</v>
      </c>
      <c r="J14">
        <f>SUMIF(Stock_Out[Product Name],sun,Stock_Out[Units Sold])</f>
        <v>21</v>
      </c>
      <c r="K14" s="45">
        <f>SUMIF(Stock_Out[Product Name],sun,Stock_Out[Total Value])</f>
        <v>1785</v>
      </c>
      <c r="L14" s="49" t="s">
        <v>48</v>
      </c>
      <c r="N14" s="49"/>
    </row>
    <row r="15" spans="1:14" x14ac:dyDescent="0.25">
      <c r="A15" s="26" t="s">
        <v>11</v>
      </c>
      <c r="B15" s="44">
        <v>300</v>
      </c>
      <c r="C15" s="44">
        <v>6</v>
      </c>
      <c r="D15" s="29" t="s">
        <v>40</v>
      </c>
      <c r="E15" s="26" t="str">
        <f t="shared" si="1"/>
        <v>Tooth Paste</v>
      </c>
      <c r="G15" s="45">
        <f>SUMIF(Product_List[Product Name],toothpaste,Product_List[Available Stock Value])</f>
        <v>150</v>
      </c>
      <c r="H15" s="44">
        <f>SUMIF(Product_List[Product Name],toothpaste,Product_List[Available Stock])</f>
        <v>6</v>
      </c>
      <c r="I15">
        <f>SUMIF(Stock_In[Product Name],toothpaste,Stock_In[Units Received])</f>
        <v>300</v>
      </c>
      <c r="J15">
        <f>SUMIF(Stock_Out[Product Name],toothpaste,Stock_Out[Units Sold])</f>
        <v>294</v>
      </c>
      <c r="K15" s="45">
        <f>SUMIF(Stock_Out[Product Name],toothpaste,Stock_Out[Total Value])</f>
        <v>7350</v>
      </c>
      <c r="L15" s="49" t="str">
        <f>CONCATENATE(" Last re-stock was ",TEXT(VLOOKUP(F8,Stock_In[],2,FALSE),"mm/dd/yyyy"),".")</f>
        <v xml:space="preserve"> Last re-stock was 12/22/2018.</v>
      </c>
      <c r="N15" s="49"/>
    </row>
    <row r="16" spans="1:14" x14ac:dyDescent="0.25">
      <c r="A16" s="26" t="s">
        <v>41</v>
      </c>
      <c r="B16" s="44">
        <v>10</v>
      </c>
      <c r="C16" s="44">
        <v>4</v>
      </c>
      <c r="D16" s="29" t="s">
        <v>17</v>
      </c>
      <c r="E16" s="26" t="str">
        <f t="shared" si="1"/>
        <v>Vacuum Cleaner</v>
      </c>
      <c r="G16" s="45">
        <f>SUMIF(Product_List[Product Name],vacuum,Product_List[Available Stock Value])</f>
        <v>18000</v>
      </c>
      <c r="H16" s="44">
        <f>SUMIF(Product_List[Product Name],vacuum,Product_List[Available Stock])</f>
        <v>4</v>
      </c>
      <c r="I16">
        <f>SUMIF(Stock_In[Product Name],vacuum,Stock_In[Units Received])</f>
        <v>10</v>
      </c>
      <c r="J16">
        <f>SUMIF(Stock_Out[Product Name],vacuum,Stock_Out[Units Sold])</f>
        <v>6</v>
      </c>
      <c r="K16" s="45">
        <f>SUMIF(Stock_Out[Product Name],vacuum,Stock_Out[Total Value])</f>
        <v>27000</v>
      </c>
      <c r="L16" s="49" t="s">
        <v>49</v>
      </c>
      <c r="N16" s="49"/>
    </row>
    <row r="17" spans="1:14" x14ac:dyDescent="0.25">
      <c r="A17" s="26" t="s">
        <v>39</v>
      </c>
      <c r="B17" s="44">
        <v>35</v>
      </c>
      <c r="C17" s="44">
        <v>12</v>
      </c>
      <c r="D17" s="29" t="s">
        <v>14</v>
      </c>
      <c r="E17" s="26" t="str">
        <f t="shared" si="1"/>
        <v>Wheat Powder</v>
      </c>
      <c r="G17" s="45">
        <f>SUMIF(Product_List[Product Name],wheat,Product_List[Available Stock Value])</f>
        <v>960</v>
      </c>
      <c r="H17" s="44">
        <f>SUMIF(Product_List[Product Name],wheat,Product_List[Available Stock])</f>
        <v>12</v>
      </c>
      <c r="I17">
        <f>SUMIF(Stock_In[Product Name],wheat,Stock_In[Units Received])</f>
        <v>35</v>
      </c>
      <c r="J17">
        <f>SUMIF(Stock_Out[Product Name],wheat,Stock_Out[Units Sold])</f>
        <v>23</v>
      </c>
      <c r="K17" s="45">
        <f>SUMIF(Stock_Out[Product Name],wheat,Stock_Out[Total Value])</f>
        <v>1840</v>
      </c>
      <c r="L17" s="49" t="s">
        <v>50</v>
      </c>
      <c r="N17" s="49"/>
    </row>
    <row r="18" spans="1:14" x14ac:dyDescent="0.25">
      <c r="C18"/>
      <c r="E18"/>
      <c r="G18" s="45">
        <f>SUM(G8:G17)</f>
        <v>33470</v>
      </c>
      <c r="H18">
        <f>SUM(H8:H17)</f>
        <v>252</v>
      </c>
      <c r="I18">
        <f>SUM(I8:I17)</f>
        <v>1145</v>
      </c>
      <c r="J18">
        <f>SUM(J8:J17)</f>
        <v>893</v>
      </c>
      <c r="K18" s="36">
        <f>SUM(K8:K17)</f>
        <v>67580</v>
      </c>
    </row>
    <row r="19" spans="1:14" x14ac:dyDescent="0.25">
      <c r="C19"/>
      <c r="E19"/>
      <c r="G19"/>
      <c r="H19" s="47" t="str">
        <f>CONCATENATE(H18, " Unit(s)")</f>
        <v>252 Unit(s)</v>
      </c>
      <c r="I19" s="47" t="str">
        <f>CONCATENATE(I18, " Unit(s)")</f>
        <v>1145 Unit(s)</v>
      </c>
      <c r="J19" s="47" t="str">
        <f>CONCATENATE(J18, " Unit(s)")</f>
        <v>893 Unit(s)</v>
      </c>
      <c r="K19" s="45"/>
    </row>
    <row r="20" spans="1:14" x14ac:dyDescent="0.25">
      <c r="C20" t="s">
        <v>86</v>
      </c>
      <c r="D20" s="29" t="s">
        <v>87</v>
      </c>
      <c r="E20" t="s">
        <v>88</v>
      </c>
      <c r="G20"/>
      <c r="H20"/>
      <c r="I20"/>
    </row>
    <row r="21" spans="1:14" x14ac:dyDescent="0.25">
      <c r="A21" t="s">
        <v>24</v>
      </c>
      <c r="B21" s="50">
        <v>0.376</v>
      </c>
      <c r="C21" s="36">
        <f>SUMIF( Product_List[Product Name],A21,Product_List[Available Stock Value])</f>
        <v>6240</v>
      </c>
      <c r="D21" s="36">
        <f>SUMIF( Stock_In[Product Name], A21,Stock_In[Total Value])</f>
        <v>10000</v>
      </c>
      <c r="E21" s="36">
        <f>SUMIF(Stock_Out[Product Name],'ref&amp;calc'!A21,Stock_Out[Total Value])</f>
        <v>3760</v>
      </c>
      <c r="G21"/>
      <c r="H21"/>
      <c r="I21"/>
      <c r="L21" t="str">
        <f>IF(AND(L8=TRUE,M8=TRUE),CONCATENATE(L13,E8,L14,L15),IF(AND(L8=TRUE,M8=FALSE),CONCATENATE(L16,E8,L17),"Cannot determine the status. Please select one product at a time."))</f>
        <v>Cannot determine the status. Please select one product at a time.</v>
      </c>
    </row>
    <row r="22" spans="1:14" x14ac:dyDescent="0.25">
      <c r="A22" t="s">
        <v>13</v>
      </c>
      <c r="B22" s="50">
        <v>0.42</v>
      </c>
      <c r="C22" s="36">
        <f>SUMIF( Product_List[Product Name],A22,Product_List[Available Stock Value])</f>
        <v>2465</v>
      </c>
      <c r="D22" s="36">
        <f>SUMIF( Stock_In[Product Name], A22,Stock_In[Total Value])</f>
        <v>4250</v>
      </c>
      <c r="E22" s="36">
        <f>SUMIF(Stock_Out[Product Name],'ref&amp;calc'!A22,Stock_Out[Total Value])</f>
        <v>1785</v>
      </c>
      <c r="G22"/>
      <c r="H22"/>
      <c r="I22"/>
    </row>
    <row r="23" spans="1:14" x14ac:dyDescent="0.25">
      <c r="A23" t="s">
        <v>27</v>
      </c>
      <c r="B23" s="50">
        <v>0.52</v>
      </c>
      <c r="C23" s="36">
        <f>SUMIF( Product_List[Product Name],A23,Product_List[Available Stock Value])</f>
        <v>600</v>
      </c>
      <c r="D23" s="36">
        <f>SUMIF( Stock_In[Product Name], A23,Stock_In[Total Value])</f>
        <v>1250</v>
      </c>
      <c r="E23" s="36">
        <f>SUMIF(Stock_Out[Product Name],'ref&amp;calc'!A23,Stock_Out[Total Value])</f>
        <v>650</v>
      </c>
      <c r="G23"/>
      <c r="H23"/>
      <c r="I23"/>
    </row>
    <row r="24" spans="1:14" x14ac:dyDescent="0.25">
      <c r="A24" t="s">
        <v>41</v>
      </c>
      <c r="B24" s="50">
        <v>0.6</v>
      </c>
      <c r="C24" s="36">
        <f>SUMIF( Product_List[Product Name],A24,Product_List[Available Stock Value])</f>
        <v>18000</v>
      </c>
      <c r="D24" s="36">
        <f>SUMIF( Stock_In[Product Name], A24,Stock_In[Total Value])</f>
        <v>45000</v>
      </c>
      <c r="E24" s="36">
        <f>SUMIF(Stock_Out[Product Name],'ref&amp;calc'!A24,Stock_Out[Total Value])</f>
        <v>27000</v>
      </c>
      <c r="G24"/>
      <c r="H24" t="s">
        <v>46</v>
      </c>
      <c r="I24" t="s">
        <v>85</v>
      </c>
    </row>
    <row r="25" spans="1:14" x14ac:dyDescent="0.25">
      <c r="A25" t="s">
        <v>39</v>
      </c>
      <c r="B25" s="50">
        <v>0.65714285714285714</v>
      </c>
      <c r="C25" s="36">
        <f>SUMIF( Product_List[Product Name],A25,Product_List[Available Stock Value])</f>
        <v>960</v>
      </c>
      <c r="D25" s="36">
        <f>SUMIF( Stock_In[Product Name], A25,Stock_In[Total Value])</f>
        <v>2800</v>
      </c>
      <c r="E25" s="36">
        <f>SUMIF(Stock_Out[Product Name],'ref&amp;calc'!A25,Stock_Out[Total Value])</f>
        <v>1840</v>
      </c>
      <c r="G25"/>
      <c r="H25" t="s">
        <v>47</v>
      </c>
      <c r="I25" t="s">
        <v>84</v>
      </c>
    </row>
    <row r="26" spans="1:14" x14ac:dyDescent="0.25">
      <c r="A26" t="s">
        <v>19</v>
      </c>
      <c r="B26" s="50">
        <v>0.72</v>
      </c>
      <c r="C26" s="36">
        <f>SUMIF( Product_List[Product Name],A26,Product_List[Available Stock Value])</f>
        <v>3500</v>
      </c>
      <c r="D26" s="36">
        <f>SUMIF( Stock_In[Product Name], A26,Stock_In[Total Value])</f>
        <v>12500</v>
      </c>
      <c r="E26" s="36">
        <f>SUMIF(Stock_Out[Product Name],'ref&amp;calc'!A26,Stock_Out[Total Value])</f>
        <v>9000</v>
      </c>
      <c r="G26"/>
      <c r="H26"/>
      <c r="I26" s="67" t="s">
        <v>83</v>
      </c>
    </row>
    <row r="27" spans="1:14" x14ac:dyDescent="0.25">
      <c r="A27" t="s">
        <v>22</v>
      </c>
      <c r="B27" s="50">
        <v>0.87333333333333329</v>
      </c>
      <c r="C27" s="36">
        <f>SUMIF( Product_List[Product Name],A27,Product_List[Available Stock Value])</f>
        <v>1140</v>
      </c>
      <c r="D27" s="36">
        <f>SUMIF( Stock_In[Product Name], A27,Stock_In[Total Value])</f>
        <v>9000</v>
      </c>
      <c r="E27" s="36">
        <f>SUMIF(Stock_Out[Product Name],'ref&amp;calc'!A27,Stock_Out[Total Value])</f>
        <v>7860</v>
      </c>
      <c r="G27"/>
      <c r="H27"/>
      <c r="I27"/>
    </row>
    <row r="28" spans="1:14" x14ac:dyDescent="0.25">
      <c r="A28" t="s">
        <v>16</v>
      </c>
      <c r="B28" s="50">
        <v>0.94</v>
      </c>
      <c r="C28" s="36">
        <f>SUMIF( Product_List[Product Name],A28,Product_List[Available Stock Value])</f>
        <v>375</v>
      </c>
      <c r="D28" s="36">
        <f>SUMIF( Stock_In[Product Name], A28,Stock_In[Total Value])</f>
        <v>6250</v>
      </c>
      <c r="E28" s="36">
        <f>SUMIF(Stock_Out[Product Name],'ref&amp;calc'!A28,Stock_Out[Total Value])</f>
        <v>5875</v>
      </c>
      <c r="G28"/>
      <c r="H28"/>
      <c r="I28"/>
    </row>
    <row r="29" spans="1:14" x14ac:dyDescent="0.25">
      <c r="A29" t="s">
        <v>11</v>
      </c>
      <c r="B29" s="50">
        <v>0.98</v>
      </c>
      <c r="C29" s="36">
        <f>SUMIF( Product_List[Product Name],A29,Product_List[Available Stock Value])</f>
        <v>150</v>
      </c>
      <c r="D29" s="36">
        <f>SUMIF( Stock_In[Product Name], A29,Stock_In[Total Value])</f>
        <v>7500</v>
      </c>
      <c r="E29" s="36">
        <f>SUMIF(Stock_Out[Product Name],'ref&amp;calc'!A29,Stock_Out[Total Value])</f>
        <v>7350</v>
      </c>
      <c r="G29"/>
      <c r="H29"/>
      <c r="I29"/>
    </row>
    <row r="30" spans="1:14" x14ac:dyDescent="0.25">
      <c r="A30" t="s">
        <v>9</v>
      </c>
      <c r="B30" s="50">
        <v>0.98399999999999999</v>
      </c>
      <c r="C30" s="36">
        <f>SUMIF( Product_List[Product Name],A30,Product_List[Available Stock Value])</f>
        <v>40</v>
      </c>
      <c r="D30" s="36">
        <f>SUMIF( Stock_In[Product Name], A30,Stock_In[Total Value])</f>
        <v>2500</v>
      </c>
      <c r="E30" s="36">
        <f>SUMIF(Stock_Out[Product Name],'ref&amp;calc'!A30,Stock_Out[Total Value])</f>
        <v>2460</v>
      </c>
      <c r="G30"/>
      <c r="H30" t="s">
        <v>14</v>
      </c>
      <c r="I30" s="50">
        <v>0.72307692307692306</v>
      </c>
    </row>
    <row r="31" spans="1:14" x14ac:dyDescent="0.25">
      <c r="C31"/>
      <c r="D31"/>
      <c r="G31"/>
      <c r="H31" t="s">
        <v>40</v>
      </c>
      <c r="I31" s="50">
        <v>0.79249999999999998</v>
      </c>
    </row>
    <row r="32" spans="1:14" x14ac:dyDescent="0.25">
      <c r="C32"/>
      <c r="D32"/>
      <c r="E32"/>
      <c r="F32"/>
      <c r="G32"/>
      <c r="H32" t="s">
        <v>17</v>
      </c>
      <c r="I32" s="50">
        <v>0.83529411764705885</v>
      </c>
    </row>
    <row r="33" spans="1:9" x14ac:dyDescent="0.25">
      <c r="C33"/>
      <c r="D33"/>
      <c r="E33"/>
      <c r="F33"/>
      <c r="G33"/>
      <c r="H33"/>
      <c r="I33"/>
    </row>
    <row r="34" spans="1:9" x14ac:dyDescent="0.25">
      <c r="C34"/>
      <c r="D34"/>
      <c r="E34"/>
      <c r="F34"/>
      <c r="G34"/>
      <c r="H34"/>
      <c r="I34"/>
    </row>
    <row r="35" spans="1:9" x14ac:dyDescent="0.25">
      <c r="A35" t="s">
        <v>43</v>
      </c>
      <c r="C35"/>
      <c r="D35"/>
      <c r="E35"/>
      <c r="F35"/>
      <c r="G35"/>
      <c r="H35" t="s">
        <v>85</v>
      </c>
      <c r="I35"/>
    </row>
    <row r="36" spans="1:9" x14ac:dyDescent="0.25">
      <c r="C36"/>
      <c r="D36"/>
      <c r="E36"/>
      <c r="F36"/>
      <c r="G36"/>
      <c r="H36"/>
      <c r="I36"/>
    </row>
    <row r="37" spans="1:9" x14ac:dyDescent="0.25">
      <c r="C37"/>
      <c r="D37"/>
      <c r="E37"/>
      <c r="F37"/>
      <c r="G37"/>
      <c r="H37"/>
      <c r="I37"/>
    </row>
    <row r="38" spans="1:9" x14ac:dyDescent="0.25">
      <c r="C38"/>
      <c r="D38"/>
      <c r="E38"/>
      <c r="F38"/>
      <c r="G38"/>
      <c r="H38"/>
      <c r="I38"/>
    </row>
    <row r="39" spans="1:9" x14ac:dyDescent="0.25">
      <c r="C39"/>
      <c r="D39"/>
      <c r="E39"/>
      <c r="F39"/>
      <c r="G39"/>
      <c r="H39"/>
      <c r="I39"/>
    </row>
    <row r="40" spans="1:9" x14ac:dyDescent="0.25">
      <c r="C40"/>
      <c r="D40"/>
      <c r="E40"/>
      <c r="F40"/>
      <c r="G40"/>
      <c r="H40"/>
      <c r="I40"/>
    </row>
    <row r="41" spans="1:9" x14ac:dyDescent="0.25">
      <c r="C41"/>
      <c r="D41"/>
      <c r="E41"/>
      <c r="F41"/>
      <c r="G41"/>
      <c r="H41"/>
      <c r="I41"/>
    </row>
    <row r="42" spans="1:9" x14ac:dyDescent="0.25">
      <c r="C42"/>
      <c r="D42"/>
      <c r="E42"/>
      <c r="F42"/>
      <c r="G42"/>
      <c r="H42"/>
      <c r="I42"/>
    </row>
    <row r="43" spans="1:9" x14ac:dyDescent="0.25">
      <c r="C43"/>
      <c r="D43"/>
      <c r="E43"/>
      <c r="F43"/>
      <c r="G43"/>
      <c r="H43"/>
      <c r="I43"/>
    </row>
    <row r="44" spans="1:9" x14ac:dyDescent="0.25">
      <c r="C44"/>
      <c r="D44"/>
      <c r="E44"/>
      <c r="F44"/>
      <c r="G44"/>
      <c r="H44"/>
      <c r="I44"/>
    </row>
    <row r="45" spans="1:9" x14ac:dyDescent="0.25">
      <c r="C45"/>
      <c r="D45"/>
      <c r="E45"/>
      <c r="F45"/>
      <c r="G45"/>
      <c r="H45"/>
      <c r="I45"/>
    </row>
    <row r="46" spans="1:9" x14ac:dyDescent="0.25">
      <c r="A46" t="s">
        <v>44</v>
      </c>
      <c r="C46"/>
      <c r="D46"/>
      <c r="E46"/>
      <c r="F46"/>
      <c r="G46"/>
      <c r="H46" t="s">
        <v>84</v>
      </c>
      <c r="I46"/>
    </row>
    <row r="47" spans="1:9" x14ac:dyDescent="0.25">
      <c r="C47"/>
      <c r="D47"/>
      <c r="E47"/>
      <c r="F47"/>
      <c r="G47"/>
      <c r="H47"/>
      <c r="I47"/>
    </row>
    <row r="48" spans="1:9" x14ac:dyDescent="0.25">
      <c r="C48"/>
      <c r="D48"/>
      <c r="E48"/>
      <c r="F48"/>
      <c r="G48"/>
      <c r="H48"/>
      <c r="I48"/>
    </row>
    <row r="49" spans="8:8" customFormat="1" x14ac:dyDescent="0.25"/>
    <row r="50" spans="8:8" customFormat="1" x14ac:dyDescent="0.25"/>
    <row r="51" spans="8:8" customFormat="1" x14ac:dyDescent="0.25"/>
    <row r="52" spans="8:8" customFormat="1" x14ac:dyDescent="0.25"/>
    <row r="53" spans="8:8" customFormat="1" x14ac:dyDescent="0.25"/>
    <row r="54" spans="8:8" customFormat="1" x14ac:dyDescent="0.25"/>
    <row r="55" spans="8:8" customFormat="1" x14ac:dyDescent="0.25"/>
    <row r="56" spans="8:8" customFormat="1" x14ac:dyDescent="0.25"/>
    <row r="57" spans="8:8" customFormat="1" x14ac:dyDescent="0.25">
      <c r="H57" t="s">
        <v>83</v>
      </c>
    </row>
    <row r="58" spans="8:8" customFormat="1" x14ac:dyDescent="0.25"/>
    <row r="59" spans="8:8" customFormat="1" x14ac:dyDescent="0.25"/>
    <row r="60" spans="8:8" customFormat="1" x14ac:dyDescent="0.25"/>
    <row r="61" spans="8:8" customFormat="1" x14ac:dyDescent="0.25"/>
    <row r="62" spans="8:8" customFormat="1" x14ac:dyDescent="0.25"/>
    <row r="63" spans="8:8" customFormat="1" x14ac:dyDescent="0.25"/>
    <row r="64" spans="8:8" customFormat="1" x14ac:dyDescent="0.25"/>
    <row r="65" spans="1:9" x14ac:dyDescent="0.25">
      <c r="C65"/>
      <c r="D65"/>
      <c r="E65"/>
      <c r="F65"/>
      <c r="G65"/>
      <c r="H65"/>
      <c r="I65"/>
    </row>
    <row r="66" spans="1:9" x14ac:dyDescent="0.25">
      <c r="A66" s="29"/>
      <c r="C66"/>
      <c r="D66"/>
      <c r="E66"/>
      <c r="F66"/>
      <c r="G66"/>
      <c r="H66"/>
      <c r="I66"/>
    </row>
    <row r="67" spans="1:9" x14ac:dyDescent="0.25">
      <c r="A67" s="29"/>
      <c r="C67"/>
      <c r="D67"/>
      <c r="E67"/>
      <c r="F67"/>
      <c r="G67"/>
      <c r="H67"/>
      <c r="I67"/>
    </row>
    <row r="68" spans="1:9" x14ac:dyDescent="0.25">
      <c r="A68" s="29"/>
      <c r="C68"/>
      <c r="D68"/>
      <c r="E68"/>
      <c r="F68"/>
      <c r="G68"/>
      <c r="H68"/>
      <c r="I68"/>
    </row>
    <row r="69" spans="1:9" x14ac:dyDescent="0.25">
      <c r="A69" s="29"/>
      <c r="C69"/>
      <c r="D69"/>
      <c r="E69"/>
      <c r="F69"/>
      <c r="G69"/>
      <c r="H69"/>
      <c r="I69"/>
    </row>
    <row r="70" spans="1:9" x14ac:dyDescent="0.25">
      <c r="A70" s="29"/>
      <c r="C70"/>
      <c r="D70"/>
      <c r="E70"/>
      <c r="F70"/>
      <c r="G70"/>
      <c r="H70"/>
      <c r="I70"/>
    </row>
    <row r="71" spans="1:9" x14ac:dyDescent="0.25">
      <c r="A71" s="29"/>
      <c r="C71"/>
      <c r="D71"/>
      <c r="E71"/>
      <c r="F71"/>
      <c r="G71"/>
      <c r="H71"/>
      <c r="I71"/>
    </row>
    <row r="72" spans="1:9" x14ac:dyDescent="0.25">
      <c r="A72" s="29"/>
      <c r="C72"/>
      <c r="D72"/>
      <c r="E72"/>
      <c r="F72"/>
      <c r="G72"/>
      <c r="H72"/>
      <c r="I72"/>
    </row>
    <row r="73" spans="1:9" x14ac:dyDescent="0.25">
      <c r="A73" s="29"/>
      <c r="C73"/>
      <c r="D73"/>
      <c r="E73"/>
      <c r="F73"/>
      <c r="G73"/>
      <c r="H73"/>
      <c r="I73"/>
    </row>
    <row r="74" spans="1:9" x14ac:dyDescent="0.25">
      <c r="A74" s="29"/>
      <c r="C74"/>
      <c r="D74"/>
      <c r="E74"/>
      <c r="F74"/>
      <c r="G74"/>
      <c r="H74"/>
      <c r="I74"/>
    </row>
    <row r="75" spans="1:9" x14ac:dyDescent="0.25">
      <c r="A75" s="29"/>
      <c r="C75"/>
      <c r="D75"/>
      <c r="E75"/>
      <c r="F75"/>
      <c r="G75"/>
      <c r="H75"/>
      <c r="I75"/>
    </row>
    <row r="76" spans="1:9" x14ac:dyDescent="0.25">
      <c r="A76" s="29"/>
      <c r="C76"/>
      <c r="D76"/>
      <c r="E76"/>
      <c r="F76"/>
      <c r="G76"/>
      <c r="H76"/>
      <c r="I76"/>
    </row>
    <row r="77" spans="1:9" x14ac:dyDescent="0.25">
      <c r="A77" s="29"/>
      <c r="C77"/>
      <c r="D77"/>
      <c r="E77"/>
      <c r="F77"/>
      <c r="G77"/>
      <c r="H77"/>
      <c r="I77"/>
    </row>
    <row r="78" spans="1:9" x14ac:dyDescent="0.25">
      <c r="A78" s="29"/>
      <c r="C78"/>
      <c r="D78"/>
      <c r="E78"/>
      <c r="F78"/>
      <c r="G78"/>
      <c r="H78"/>
      <c r="I78"/>
    </row>
    <row r="79" spans="1:9" x14ac:dyDescent="0.25">
      <c r="A79" s="29"/>
      <c r="C79"/>
      <c r="D79"/>
      <c r="E79"/>
      <c r="F79"/>
      <c r="G79"/>
      <c r="H79"/>
      <c r="I79"/>
    </row>
    <row r="80" spans="1:9" x14ac:dyDescent="0.25">
      <c r="A80" s="29"/>
      <c r="C80"/>
      <c r="D80"/>
      <c r="E80"/>
      <c r="F80"/>
      <c r="G80"/>
      <c r="H80"/>
      <c r="I80"/>
    </row>
    <row r="81" spans="1:9" x14ac:dyDescent="0.25">
      <c r="A81" s="29"/>
      <c r="C81"/>
      <c r="D81"/>
      <c r="E81"/>
      <c r="F81"/>
      <c r="G81"/>
      <c r="H81"/>
      <c r="I81"/>
    </row>
    <row r="82" spans="1:9" x14ac:dyDescent="0.25">
      <c r="A82" s="29"/>
      <c r="C82"/>
      <c r="D82"/>
      <c r="E82"/>
      <c r="F82"/>
      <c r="G82"/>
      <c r="H82"/>
      <c r="I82"/>
    </row>
    <row r="83" spans="1:9" x14ac:dyDescent="0.25">
      <c r="A83" s="29"/>
      <c r="C83"/>
      <c r="D83"/>
      <c r="E83"/>
      <c r="F83"/>
      <c r="G83"/>
      <c r="H83"/>
      <c r="I83"/>
    </row>
    <row r="84" spans="1:9" x14ac:dyDescent="0.25">
      <c r="A84" s="29"/>
      <c r="C84"/>
      <c r="D84"/>
      <c r="E84"/>
      <c r="F84"/>
      <c r="G84"/>
      <c r="H84"/>
      <c r="I84"/>
    </row>
    <row r="85" spans="1:9" x14ac:dyDescent="0.25">
      <c r="A85" s="29"/>
      <c r="C85"/>
      <c r="D85"/>
      <c r="E85"/>
      <c r="F85"/>
      <c r="G85"/>
      <c r="H85"/>
      <c r="I85"/>
    </row>
    <row r="86" spans="1:9" x14ac:dyDescent="0.25">
      <c r="A86" s="29"/>
      <c r="C86"/>
      <c r="D86"/>
      <c r="E86"/>
      <c r="F86"/>
      <c r="G86"/>
      <c r="H86"/>
      <c r="I86"/>
    </row>
    <row r="87" spans="1:9" x14ac:dyDescent="0.25">
      <c r="A87" s="29"/>
      <c r="C87"/>
      <c r="D87"/>
      <c r="E87"/>
      <c r="F87"/>
      <c r="G87"/>
      <c r="H87"/>
      <c r="I87"/>
    </row>
    <row r="88" spans="1:9" x14ac:dyDescent="0.25">
      <c r="A88" s="29"/>
      <c r="C88"/>
      <c r="D88"/>
      <c r="E88"/>
      <c r="F88"/>
      <c r="G88"/>
      <c r="H88"/>
      <c r="I88"/>
    </row>
    <row r="89" spans="1:9" x14ac:dyDescent="0.25">
      <c r="A89" s="29"/>
      <c r="C89"/>
      <c r="D89"/>
      <c r="E89"/>
      <c r="F89"/>
      <c r="G89"/>
      <c r="H89"/>
      <c r="I89"/>
    </row>
    <row r="90" spans="1:9" x14ac:dyDescent="0.25">
      <c r="A90" s="29"/>
      <c r="C90"/>
      <c r="D90"/>
      <c r="E90"/>
      <c r="F90"/>
      <c r="G90"/>
      <c r="H90"/>
      <c r="I90"/>
    </row>
  </sheetData>
  <phoneticPr fontId="6" type="noConversion"/>
  <conditionalFormatting sqref="B2:B4">
    <cfRule type="duplicateValues" dxfId="0" priority="1"/>
  </conditionalFormatting>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A33E1-9504-4CD4-9E81-47544B4401D1}">
  <dimension ref="A1:J14"/>
  <sheetViews>
    <sheetView workbookViewId="0">
      <selection activeCell="J4" sqref="J4"/>
    </sheetView>
  </sheetViews>
  <sheetFormatPr defaultRowHeight="15" x14ac:dyDescent="0.25"/>
  <cols>
    <col min="1" max="1" width="15.5703125" bestFit="1" customWidth="1"/>
    <col min="2" max="2" width="10.85546875" bestFit="1" customWidth="1"/>
    <col min="3" max="3" width="3" bestFit="1" customWidth="1"/>
    <col min="4" max="4" width="6.5703125" bestFit="1" customWidth="1"/>
    <col min="5" max="5" width="6.140625" bestFit="1" customWidth="1"/>
    <col min="6" max="6" width="6.28515625" bestFit="1" customWidth="1"/>
    <col min="7" max="7" width="13.42578125" bestFit="1" customWidth="1"/>
    <col min="8" max="8" width="9.7109375" bestFit="1" customWidth="1"/>
    <col min="9" max="9" width="19.5703125" bestFit="1" customWidth="1"/>
    <col min="10" max="10" width="11.5703125" bestFit="1" customWidth="1"/>
  </cols>
  <sheetData>
    <row r="1" spans="1:10" x14ac:dyDescent="0.25">
      <c r="G1" t="s">
        <v>69</v>
      </c>
      <c r="I1" t="s">
        <v>38</v>
      </c>
      <c r="J1" s="53" t="str">
        <f>CONCATENATE(SUM(Product_List[Available Stock]), " Unit(s)")</f>
        <v>252 Unit(s)</v>
      </c>
    </row>
    <row r="2" spans="1:10" x14ac:dyDescent="0.25">
      <c r="A2" t="s">
        <v>45</v>
      </c>
      <c r="B2" t="s">
        <v>52</v>
      </c>
      <c r="D2" t="s">
        <v>72</v>
      </c>
      <c r="E2" t="s">
        <v>71</v>
      </c>
      <c r="F2" s="29" t="s">
        <v>53</v>
      </c>
      <c r="G2" t="s">
        <v>68</v>
      </c>
      <c r="I2" t="s">
        <v>70</v>
      </c>
      <c r="J2" s="54">
        <f>SUM(Product_List[Available Stock Value])</f>
        <v>33470</v>
      </c>
    </row>
    <row r="3" spans="1:10" x14ac:dyDescent="0.25">
      <c r="A3" t="s">
        <v>42</v>
      </c>
      <c r="B3" t="s">
        <v>54</v>
      </c>
      <c r="C3" s="59" t="s">
        <v>73</v>
      </c>
      <c r="D3" s="59" t="s">
        <v>73</v>
      </c>
      <c r="E3">
        <v>31</v>
      </c>
      <c r="F3">
        <v>2018</v>
      </c>
      <c r="G3" s="61" t="str">
        <f>CONCATENATE('Dashboard-bk'!$C$9,VLOOKUP('Dashboard-bk'!$C$8,'Calc&amp;Ref'!$B$3:$E$14,2,FALSE),VLOOKUP('Dashboard-bk'!$C$8,'Calc&amp;Ref'!$B$3:$E$14,3,FALSE))</f>
        <v>20190201</v>
      </c>
      <c r="H3" s="55">
        <f>DATE(LEFT(G3,4),MID(G3,5,2),RIGHT(G3,2))</f>
        <v>43497</v>
      </c>
      <c r="I3" t="s">
        <v>66</v>
      </c>
      <c r="J3" s="53" t="str">
        <f>CONCATENATE(SUMIFS(Stock_In[Units Received],Stock_In[Date],"&gt;="&amp;$H$3,Stock_In[Date],"&lt;="&amp;$H$4), " Unit(s)")</f>
        <v>335 Unit(s)</v>
      </c>
    </row>
    <row r="4" spans="1:10" x14ac:dyDescent="0.25">
      <c r="A4" t="s">
        <v>24</v>
      </c>
      <c r="B4" t="s">
        <v>55</v>
      </c>
      <c r="C4" s="59" t="s">
        <v>74</v>
      </c>
      <c r="D4" s="59" t="s">
        <v>73</v>
      </c>
      <c r="E4">
        <f>IF('Dashboard-bk'!C9/4=0,29,28)</f>
        <v>28</v>
      </c>
      <c r="F4">
        <v>2019</v>
      </c>
      <c r="G4" s="61" t="str">
        <f>CONCATENATE('Dashboard-bk'!$C$9,VLOOKUP('Dashboard-bk'!$C$8,'Calc&amp;Ref'!$B$3:$E$14,2,FALSE),VLOOKUP('Dashboard-bk'!$C$8,'Calc&amp;Ref'!$B$3:$E$14,4,FALSE))</f>
        <v>20190228</v>
      </c>
      <c r="H4" s="55">
        <f>DATE(LEFT(G4,4),MID(G4,5,2),RIGHT(G4,2))</f>
        <v>43524</v>
      </c>
      <c r="I4" t="s">
        <v>67</v>
      </c>
      <c r="J4" s="53" t="str">
        <f>CONCATENATE(SUMIFS(Stock_Out[Units Sold],Stock_Out[Date],"&gt;="&amp;$H$3,Stock_Out[Date],"&lt;="&amp;$H$4), " Unit(s)")</f>
        <v>109 Unit(s)</v>
      </c>
    </row>
    <row r="5" spans="1:10" x14ac:dyDescent="0.25">
      <c r="A5" t="s">
        <v>13</v>
      </c>
      <c r="B5" t="s">
        <v>56</v>
      </c>
      <c r="C5" s="59" t="s">
        <v>75</v>
      </c>
      <c r="D5" s="59" t="s">
        <v>73</v>
      </c>
      <c r="E5">
        <v>31</v>
      </c>
      <c r="F5">
        <v>2020</v>
      </c>
    </row>
    <row r="6" spans="1:10" x14ac:dyDescent="0.25">
      <c r="A6" t="s">
        <v>27</v>
      </c>
      <c r="B6" t="s">
        <v>57</v>
      </c>
      <c r="C6" s="59" t="s">
        <v>76</v>
      </c>
      <c r="D6" s="59" t="s">
        <v>73</v>
      </c>
      <c r="E6">
        <v>30</v>
      </c>
      <c r="F6">
        <v>2021</v>
      </c>
    </row>
    <row r="7" spans="1:10" x14ac:dyDescent="0.25">
      <c r="A7" t="s">
        <v>41</v>
      </c>
      <c r="B7" t="s">
        <v>58</v>
      </c>
      <c r="C7" s="59" t="s">
        <v>77</v>
      </c>
      <c r="D7" s="59" t="s">
        <v>73</v>
      </c>
      <c r="E7">
        <v>31</v>
      </c>
      <c r="F7" s="29"/>
    </row>
    <row r="8" spans="1:10" x14ac:dyDescent="0.25">
      <c r="A8" t="s">
        <v>39</v>
      </c>
      <c r="B8" t="s">
        <v>59</v>
      </c>
      <c r="C8" s="59" t="s">
        <v>78</v>
      </c>
      <c r="D8" s="59" t="s">
        <v>73</v>
      </c>
      <c r="E8">
        <v>30</v>
      </c>
      <c r="F8" s="29"/>
    </row>
    <row r="9" spans="1:10" x14ac:dyDescent="0.25">
      <c r="A9" t="s">
        <v>19</v>
      </c>
      <c r="B9" t="s">
        <v>60</v>
      </c>
      <c r="C9" s="59" t="s">
        <v>79</v>
      </c>
      <c r="D9" s="59" t="s">
        <v>73</v>
      </c>
      <c r="E9">
        <v>31</v>
      </c>
      <c r="F9" s="29"/>
    </row>
    <row r="10" spans="1:10" x14ac:dyDescent="0.25">
      <c r="A10" t="s">
        <v>22</v>
      </c>
      <c r="B10" t="s">
        <v>61</v>
      </c>
      <c r="C10" s="59" t="s">
        <v>80</v>
      </c>
      <c r="D10" s="59" t="s">
        <v>73</v>
      </c>
      <c r="E10">
        <v>31</v>
      </c>
    </row>
    <row r="11" spans="1:10" x14ac:dyDescent="0.25">
      <c r="A11" t="s">
        <v>16</v>
      </c>
      <c r="B11" t="s">
        <v>62</v>
      </c>
      <c r="C11" s="59" t="s">
        <v>81</v>
      </c>
      <c r="D11" s="59" t="s">
        <v>73</v>
      </c>
      <c r="E11">
        <v>30</v>
      </c>
    </row>
    <row r="12" spans="1:10" x14ac:dyDescent="0.25">
      <c r="A12" t="s">
        <v>11</v>
      </c>
      <c r="B12" t="s">
        <v>63</v>
      </c>
      <c r="C12" s="60">
        <v>10</v>
      </c>
      <c r="D12" s="59" t="s">
        <v>73</v>
      </c>
      <c r="E12">
        <v>31</v>
      </c>
    </row>
    <row r="13" spans="1:10" ht="18.75" x14ac:dyDescent="0.3">
      <c r="A13" t="s">
        <v>9</v>
      </c>
      <c r="B13" t="s">
        <v>64</v>
      </c>
      <c r="C13" s="58">
        <v>11</v>
      </c>
      <c r="D13" s="59" t="s">
        <v>73</v>
      </c>
      <c r="E13">
        <v>30</v>
      </c>
      <c r="G13" s="56"/>
      <c r="H13" s="57"/>
    </row>
    <row r="14" spans="1:10" x14ac:dyDescent="0.25">
      <c r="B14" t="s">
        <v>65</v>
      </c>
      <c r="C14" s="58">
        <v>12</v>
      </c>
      <c r="D14" s="59" t="s">
        <v>73</v>
      </c>
      <c r="E14">
        <v>31</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CBDF-A347-481D-8E62-7EF2641D4DA8}">
  <dimension ref="A1:V46"/>
  <sheetViews>
    <sheetView zoomScale="70" zoomScaleNormal="70" workbookViewId="0">
      <selection activeCell="E9" sqref="E9"/>
    </sheetView>
  </sheetViews>
  <sheetFormatPr defaultColWidth="0" defaultRowHeight="15" customHeight="1" zeroHeight="1" x14ac:dyDescent="0.25"/>
  <cols>
    <col min="1" max="1" width="3.5703125" style="25" customWidth="1"/>
    <col min="2" max="3" width="9.140625" style="25" customWidth="1"/>
    <col min="4" max="4" width="8.5703125" style="25" customWidth="1"/>
    <col min="5" max="20" width="9.140625" style="25" customWidth="1"/>
    <col min="21" max="21" width="2" style="25" customWidth="1"/>
    <col min="22" max="16384" width="9.140625" style="25" hidden="1"/>
  </cols>
  <sheetData>
    <row r="1" spans="2:13" x14ac:dyDescent="0.25"/>
    <row r="2" spans="2:13" x14ac:dyDescent="0.25"/>
    <row r="3" spans="2:13" x14ac:dyDescent="0.25"/>
    <row r="4" spans="2:13" x14ac:dyDescent="0.25"/>
    <row r="5" spans="2:13" x14ac:dyDescent="0.25">
      <c r="H5" s="39"/>
    </row>
    <row r="6" spans="2:13" ht="15.75" x14ac:dyDescent="0.25">
      <c r="B6" s="62" t="s">
        <v>2</v>
      </c>
      <c r="C6" s="63"/>
      <c r="D6" s="64"/>
      <c r="I6" s="68"/>
      <c r="J6" s="68"/>
      <c r="K6" s="68"/>
      <c r="L6" s="68"/>
      <c r="M6" s="68"/>
    </row>
    <row r="7" spans="2:13" ht="15.75" x14ac:dyDescent="0.25">
      <c r="B7" s="64"/>
      <c r="C7" s="69" t="s">
        <v>24</v>
      </c>
      <c r="D7" s="69"/>
      <c r="I7" s="68"/>
      <c r="J7" s="68"/>
      <c r="K7" s="68"/>
      <c r="L7" s="68"/>
      <c r="M7" s="68"/>
    </row>
    <row r="8" spans="2:13" ht="15.75" x14ac:dyDescent="0.25">
      <c r="B8" s="63" t="s">
        <v>52</v>
      </c>
      <c r="C8" s="65" t="s">
        <v>55</v>
      </c>
      <c r="D8" s="66"/>
    </row>
    <row r="9" spans="2:13" ht="15.75" x14ac:dyDescent="0.25">
      <c r="B9" s="63" t="s">
        <v>53</v>
      </c>
      <c r="C9" s="65">
        <v>2019</v>
      </c>
      <c r="D9" s="66"/>
    </row>
    <row r="10" spans="2:13" x14ac:dyDescent="0.25"/>
    <row r="11" spans="2:13" x14ac:dyDescent="0.25">
      <c r="B11" s="40"/>
      <c r="C11" s="40"/>
      <c r="D11" s="40"/>
      <c r="E11" s="40"/>
      <c r="F11" s="40"/>
    </row>
    <row r="12" spans="2:13" x14ac:dyDescent="0.25">
      <c r="B12" s="40"/>
      <c r="F12" s="40"/>
    </row>
    <row r="13" spans="2:13" x14ac:dyDescent="0.25">
      <c r="B13" s="40"/>
      <c r="F13" s="40"/>
    </row>
    <row r="14" spans="2:13" x14ac:dyDescent="0.25">
      <c r="B14" s="40"/>
      <c r="F14" s="40"/>
    </row>
    <row r="15" spans="2:13" x14ac:dyDescent="0.25">
      <c r="B15" s="40"/>
      <c r="C15" s="40"/>
      <c r="D15" s="40"/>
      <c r="E15" s="40"/>
      <c r="F15" s="40"/>
    </row>
    <row r="16" spans="2:13" x14ac:dyDescent="0.25">
      <c r="B16" s="40"/>
      <c r="C16" s="40"/>
      <c r="D16" s="40"/>
      <c r="E16" s="40"/>
      <c r="F16" s="40"/>
    </row>
    <row r="17" spans="2:22" x14ac:dyDescent="0.25">
      <c r="B17" s="40"/>
      <c r="C17" s="40"/>
      <c r="D17" s="40"/>
      <c r="E17" s="40"/>
      <c r="F17" s="40"/>
    </row>
    <row r="18" spans="2:22" x14ac:dyDescent="0.25">
      <c r="B18" s="40"/>
      <c r="C18" s="40"/>
      <c r="D18" s="40"/>
      <c r="E18" s="40"/>
      <c r="F18" s="40"/>
    </row>
    <row r="19" spans="2:22" x14ac:dyDescent="0.25">
      <c r="B19" s="40"/>
      <c r="C19" s="40"/>
      <c r="D19" s="40"/>
      <c r="E19" s="40"/>
      <c r="F19" s="40"/>
    </row>
    <row r="20" spans="2:22" x14ac:dyDescent="0.25">
      <c r="B20" s="40"/>
      <c r="C20" s="40"/>
      <c r="D20" s="40"/>
      <c r="E20" s="40"/>
      <c r="F20" s="40"/>
    </row>
    <row r="21" spans="2:22" x14ac:dyDescent="0.25">
      <c r="B21" s="40"/>
      <c r="C21" s="40"/>
      <c r="D21" s="40"/>
      <c r="E21" s="40"/>
      <c r="F21" s="40"/>
    </row>
    <row r="22" spans="2:22" x14ac:dyDescent="0.25">
      <c r="B22" s="40"/>
      <c r="C22" s="40"/>
      <c r="D22" s="40"/>
      <c r="E22" s="40"/>
      <c r="F22" s="40"/>
    </row>
    <row r="23" spans="2:22" x14ac:dyDescent="0.25">
      <c r="R23" s="41"/>
      <c r="S23" s="41"/>
      <c r="T23" s="41"/>
      <c r="U23" s="41"/>
      <c r="V23" s="41"/>
    </row>
    <row r="24" spans="2:22" x14ac:dyDescent="0.25">
      <c r="R24" s="41"/>
      <c r="S24" s="41"/>
      <c r="T24" s="41"/>
      <c r="U24" s="41"/>
      <c r="V24" s="41"/>
    </row>
    <row r="25" spans="2:22" x14ac:dyDescent="0.25">
      <c r="R25" s="41"/>
      <c r="S25" s="41"/>
      <c r="T25" s="41"/>
      <c r="U25" s="41"/>
      <c r="V25" s="41"/>
    </row>
    <row r="26" spans="2:22" x14ac:dyDescent="0.25">
      <c r="R26" s="41"/>
      <c r="S26" s="41"/>
      <c r="T26" s="41"/>
      <c r="U26" s="41"/>
      <c r="V26" s="41"/>
    </row>
    <row r="27" spans="2:22" x14ac:dyDescent="0.25">
      <c r="R27" s="41"/>
      <c r="S27" s="41"/>
      <c r="T27" s="42"/>
    </row>
    <row r="28" spans="2:22" x14ac:dyDescent="0.25">
      <c r="R28" s="41"/>
      <c r="S28" s="41"/>
      <c r="T28" s="42"/>
      <c r="U28" s="42"/>
      <c r="V28" s="42"/>
    </row>
    <row r="29" spans="2:22" x14ac:dyDescent="0.25">
      <c r="R29" s="41"/>
      <c r="S29" s="41"/>
      <c r="T29" s="42"/>
      <c r="U29" s="42"/>
      <c r="V29" s="42"/>
    </row>
    <row r="30" spans="2:22" x14ac:dyDescent="0.25">
      <c r="R30" s="41"/>
      <c r="S30" s="41"/>
      <c r="T30" s="41"/>
      <c r="U30" s="41"/>
      <c r="V30" s="41"/>
    </row>
    <row r="31" spans="2:22" x14ac:dyDescent="0.25">
      <c r="R31" s="41"/>
      <c r="S31" s="41"/>
      <c r="T31" s="41"/>
      <c r="U31" s="41"/>
      <c r="V31" s="41"/>
    </row>
    <row r="32" spans="2:22" x14ac:dyDescent="0.25"/>
    <row r="33" spans="3:4" x14ac:dyDescent="0.25"/>
    <row r="34" spans="3:4" x14ac:dyDescent="0.25"/>
    <row r="35" spans="3:4" x14ac:dyDescent="0.25"/>
    <row r="36" spans="3:4" x14ac:dyDescent="0.25"/>
    <row r="37" spans="3:4" x14ac:dyDescent="0.25"/>
    <row r="46" spans="3:4" hidden="1" x14ac:dyDescent="0.25">
      <c r="C46" s="42"/>
      <c r="D46" s="42"/>
    </row>
  </sheetData>
  <mergeCells count="2">
    <mergeCell ref="I6:M7"/>
    <mergeCell ref="C7:D7"/>
  </mergeCell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list" showInputMessage="1" showErrorMessage="1" xr:uid="{2845F9CA-A9EC-401D-9C37-DC6F88F103D4}">
          <x14:formula1>
            <xm:f>'Calc&amp;Ref'!$B$3:$B$14</xm:f>
          </x14:formula1>
          <xm:sqref>C8</xm:sqref>
        </x14:dataValidation>
        <x14:dataValidation type="list" allowBlank="1" showInputMessage="1" showErrorMessage="1" xr:uid="{3A96E700-8895-4563-9B6A-531EFE0F3EBB}">
          <x14:formula1>
            <xm:f>'Calc&amp;Ref'!$F$3:$F$6</xm:f>
          </x14:formula1>
          <xm:sqref>C9</xm:sqref>
        </x14:dataValidation>
        <x14:dataValidation type="list" showInputMessage="1" showErrorMessage="1" xr:uid="{6C54AB5A-8183-433C-A50C-F0F8BC73D842}">
          <x14:formula1>
            <xm:f>'Calc&amp;Ref'!$A$3:$A$13</xm:f>
          </x14:formula1>
          <xm:sqref>C7:D7</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0CF0-3D5B-4A0A-B238-55D6A03751E8}">
  <sheetPr codeName="Sheet5"/>
  <dimension ref="A1:U46"/>
  <sheetViews>
    <sheetView tabSelected="1" zoomScaleNormal="100" workbookViewId="0">
      <selection activeCell="F16" sqref="F16:G16"/>
    </sheetView>
  </sheetViews>
  <sheetFormatPr defaultColWidth="0" defaultRowHeight="15" zeroHeight="1" x14ac:dyDescent="0.25"/>
  <cols>
    <col min="1" max="19" width="9.140625" style="25" customWidth="1"/>
    <col min="20" max="20" width="2" style="25" customWidth="1"/>
    <col min="21" max="16384" width="9.140625" style="25" hidden="1"/>
  </cols>
  <sheetData>
    <row r="1" spans="2:16" x14ac:dyDescent="0.25"/>
    <row r="2" spans="2:16" x14ac:dyDescent="0.25"/>
    <row r="3" spans="2:16" x14ac:dyDescent="0.25"/>
    <row r="4" spans="2:16" x14ac:dyDescent="0.25"/>
    <row r="5" spans="2:16" x14ac:dyDescent="0.25">
      <c r="H5" s="39"/>
    </row>
    <row r="6" spans="2:16" x14ac:dyDescent="0.25">
      <c r="I6" s="68"/>
      <c r="J6" s="68"/>
      <c r="K6" s="68"/>
      <c r="L6" s="68"/>
      <c r="M6" s="68"/>
    </row>
    <row r="7" spans="2:16" x14ac:dyDescent="0.25">
      <c r="I7" s="68"/>
      <c r="J7" s="68"/>
      <c r="K7" s="68"/>
      <c r="L7" s="68"/>
      <c r="M7" s="68"/>
    </row>
    <row r="8" spans="2:16" x14ac:dyDescent="0.25"/>
    <row r="9" spans="2:16" x14ac:dyDescent="0.25"/>
    <row r="10" spans="2:16" x14ac:dyDescent="0.25"/>
    <row r="11" spans="2:16" x14ac:dyDescent="0.25">
      <c r="B11" s="40"/>
      <c r="C11" s="40"/>
      <c r="D11" s="40"/>
      <c r="E11" s="40"/>
      <c r="F11" s="40"/>
    </row>
    <row r="12" spans="2:16" x14ac:dyDescent="0.25">
      <c r="B12" s="40"/>
      <c r="F12" s="40"/>
    </row>
    <row r="13" spans="2:16" x14ac:dyDescent="0.25">
      <c r="B13" s="40"/>
      <c r="F13" s="40"/>
    </row>
    <row r="14" spans="2:16" x14ac:dyDescent="0.25">
      <c r="B14" s="40"/>
      <c r="F14" s="40"/>
    </row>
    <row r="15" spans="2:16" x14ac:dyDescent="0.25">
      <c r="B15" s="40"/>
      <c r="C15" s="40"/>
      <c r="D15" s="40"/>
      <c r="E15" s="40"/>
      <c r="F15" s="40"/>
    </row>
    <row r="16" spans="2:16" ht="18.75" x14ac:dyDescent="0.25">
      <c r="B16" s="40"/>
      <c r="C16" s="40"/>
      <c r="D16" s="40"/>
      <c r="E16" s="40"/>
      <c r="F16" s="70" t="s">
        <v>85</v>
      </c>
      <c r="G16" s="70"/>
      <c r="L16" s="70" t="s">
        <v>47</v>
      </c>
      <c r="M16" s="70"/>
      <c r="N16" s="51"/>
      <c r="O16" s="51"/>
      <c r="P16" s="51"/>
    </row>
    <row r="17" spans="2:21" x14ac:dyDescent="0.25">
      <c r="B17" s="40"/>
      <c r="C17" s="40"/>
      <c r="D17" s="40"/>
      <c r="E17" s="40"/>
      <c r="F17" s="40"/>
    </row>
    <row r="18" spans="2:21" x14ac:dyDescent="0.25">
      <c r="B18" s="40"/>
      <c r="C18" s="40"/>
      <c r="D18" s="40"/>
      <c r="E18" s="40"/>
      <c r="F18" s="40"/>
    </row>
    <row r="19" spans="2:21" x14ac:dyDescent="0.25">
      <c r="B19" s="40"/>
      <c r="C19" s="40"/>
      <c r="D19" s="40"/>
      <c r="E19" s="40"/>
      <c r="F19" s="40"/>
    </row>
    <row r="20" spans="2:21" x14ac:dyDescent="0.25">
      <c r="B20" s="40"/>
      <c r="C20" s="40"/>
      <c r="D20" s="40"/>
      <c r="E20" s="40"/>
      <c r="F20" s="40"/>
    </row>
    <row r="21" spans="2:21" x14ac:dyDescent="0.25">
      <c r="B21" s="40"/>
      <c r="C21" s="40"/>
      <c r="D21" s="40"/>
      <c r="E21" s="40"/>
      <c r="F21" s="40"/>
    </row>
    <row r="22" spans="2:21" x14ac:dyDescent="0.25">
      <c r="B22" s="40"/>
      <c r="C22" s="40"/>
      <c r="D22" s="40"/>
      <c r="E22" s="40"/>
      <c r="F22" s="40"/>
    </row>
    <row r="23" spans="2:21" x14ac:dyDescent="0.25">
      <c r="R23" s="41"/>
      <c r="S23" s="41"/>
      <c r="T23" s="41"/>
      <c r="U23" s="41"/>
    </row>
    <row r="24" spans="2:21" x14ac:dyDescent="0.25">
      <c r="R24" s="41"/>
      <c r="S24" s="41"/>
      <c r="T24" s="41"/>
      <c r="U24" s="41"/>
    </row>
    <row r="25" spans="2:21" x14ac:dyDescent="0.25">
      <c r="R25" s="41"/>
      <c r="S25" s="41"/>
      <c r="T25" s="41"/>
      <c r="U25" s="41"/>
    </row>
    <row r="26" spans="2:21" x14ac:dyDescent="0.25">
      <c r="R26" s="41"/>
      <c r="S26" s="41"/>
      <c r="T26" s="41"/>
      <c r="U26" s="41"/>
    </row>
    <row r="27" spans="2:21" x14ac:dyDescent="0.25">
      <c r="R27" s="41"/>
      <c r="S27" s="41"/>
    </row>
    <row r="28" spans="2:21" x14ac:dyDescent="0.25">
      <c r="R28" s="41"/>
      <c r="S28" s="41"/>
      <c r="T28" s="42"/>
      <c r="U28" s="42"/>
    </row>
    <row r="29" spans="2:21" x14ac:dyDescent="0.25">
      <c r="R29" s="41"/>
      <c r="S29" s="41"/>
      <c r="T29" s="42"/>
      <c r="U29" s="42"/>
    </row>
    <row r="30" spans="2:21" x14ac:dyDescent="0.25">
      <c r="R30" s="41"/>
      <c r="S30" s="41"/>
      <c r="T30" s="41"/>
      <c r="U30" s="41"/>
    </row>
    <row r="31" spans="2:21" x14ac:dyDescent="0.25">
      <c r="R31" s="41"/>
      <c r="S31" s="41"/>
      <c r="T31" s="41"/>
      <c r="U31" s="41"/>
    </row>
    <row r="32" spans="2:21" x14ac:dyDescent="0.25"/>
    <row r="33" spans="3:4" x14ac:dyDescent="0.25"/>
    <row r="34" spans="3:4" x14ac:dyDescent="0.25"/>
    <row r="35" spans="3:4" x14ac:dyDescent="0.25"/>
    <row r="36" spans="3:4" x14ac:dyDescent="0.25"/>
    <row r="37" spans="3:4" x14ac:dyDescent="0.25"/>
    <row r="46" spans="3:4" hidden="1" x14ac:dyDescent="0.25">
      <c r="C46" s="42"/>
      <c r="D46" s="42"/>
    </row>
  </sheetData>
  <mergeCells count="3">
    <mergeCell ref="F16:G16"/>
    <mergeCell ref="I6:M7"/>
    <mergeCell ref="L16:M16"/>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showInputMessage="1" showErrorMessage="1" xr:uid="{F3036F7D-3DC3-445E-9E77-B650B7461DFC}">
          <x14:formula1>
            <xm:f>'ref&amp;calc'!$H$24:$H$25</xm:f>
          </x14:formula1>
          <xm:sqref>L16</xm:sqref>
        </x14:dataValidation>
        <x14:dataValidation type="list" showInputMessage="1" showErrorMessage="1" xr:uid="{294CBA46-1A72-44CF-B344-F04D959FE8CA}">
          <x14:formula1>
            <xm:f>'ref&amp;calc'!$I$24:$I$26</xm:f>
          </x14:formula1>
          <xm:sqref>F16:G16</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19</vt:i4>
      </vt:variant>
    </vt:vector>
  </HeadingPairs>
  <TitlesOfParts>
    <vt:vector size="26" baseType="lpstr">
      <vt:lpstr>Product Master</vt:lpstr>
      <vt:lpstr>Stock Inflow</vt:lpstr>
      <vt:lpstr>Stock Outflow</vt:lpstr>
      <vt:lpstr>ref&amp;calc</vt:lpstr>
      <vt:lpstr>Calc&amp;Ref</vt:lpstr>
      <vt:lpstr>Dashboard-bk</vt:lpstr>
      <vt:lpstr>Dashboard</vt:lpstr>
      <vt:lpstr>bodysoap</vt:lpstr>
      <vt:lpstr>broom</vt:lpstr>
      <vt:lpstr>bucket</vt:lpstr>
      <vt:lpstr>CATEGORY</vt:lpstr>
      <vt:lpstr>CURRENT</vt:lpstr>
      <vt:lpstr>detergents</vt:lpstr>
      <vt:lpstr>INFLOW</vt:lpstr>
      <vt:lpstr>knife</vt:lpstr>
      <vt:lpstr>OUTFLOW</vt:lpstr>
      <vt:lpstr>PRODUCT</vt:lpstr>
      <vt:lpstr>rice</vt:lpstr>
      <vt:lpstr>stockin</vt:lpstr>
      <vt:lpstr>stockout</vt:lpstr>
      <vt:lpstr>stocksleft</vt:lpstr>
      <vt:lpstr>stocksvalue</vt:lpstr>
      <vt:lpstr>sun</vt:lpstr>
      <vt:lpstr>toothpaste</vt:lpstr>
      <vt:lpstr>vacuum</vt:lpstr>
      <vt:lpstr>wheat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Kent Pastoril</cp:lastModifiedBy>
  <dcterms:created xsi:type="dcterms:W3CDTF">2019-10-13T12:29:26Z</dcterms:created>
  <dcterms:modified xsi:type="dcterms:W3CDTF">2021-02-22T16:25:42Z</dcterms:modified>
</cp:coreProperties>
</file>