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5.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https://d.docs.live.net/5be2335e2d31ddeb/Documents/Data Science/Data Visualization Fundamentals/"/>
    </mc:Choice>
  </mc:AlternateContent>
  <xr:revisionPtr revIDLastSave="278" documentId="13_ncr:1_{79FE2B74-5638-4AAA-A0D6-0F28E0755134}" xr6:coauthVersionLast="45" xr6:coauthVersionMax="45" xr10:uidLastSave="{579AE8F9-2168-47A9-9EFC-02B4D43E2B25}"/>
  <bookViews>
    <workbookView xWindow="-120" yWindow="-120" windowWidth="29040" windowHeight="15840" activeTab="4" xr2:uid="{0674A63C-0DD0-40B9-BFC5-365D36EFA2AA}"/>
  </bookViews>
  <sheets>
    <sheet name="Raw Data fr. SP201" sheetId="2" r:id="rId1"/>
    <sheet name="Week 1" sheetId="8" r:id="rId2"/>
    <sheet name="Week 2" sheetId="9" r:id="rId3"/>
    <sheet name="Week 3" sheetId="10" r:id="rId4"/>
    <sheet name="Week 4" sheetId="12" r:id="rId5"/>
    <sheet name="Sheet1" sheetId="7" state="hidden" r:id="rId6"/>
  </sheets>
  <externalReferences>
    <externalReference r:id="rId7"/>
  </externalReferences>
  <definedNames>
    <definedName name="sum">#REF!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2" l="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N48" i="2"/>
  <c r="N47" i="2"/>
  <c r="Q2" i="2"/>
  <c r="Q4" i="2"/>
  <c r="Q5" i="2"/>
  <c r="Q6" i="2"/>
  <c r="Q7" i="2"/>
  <c r="Q8" i="2"/>
  <c r="Q13" i="2"/>
  <c r="Q15" i="2"/>
  <c r="Q16" i="2"/>
  <c r="Q17" i="2"/>
  <c r="Q18" i="2"/>
  <c r="Q19" i="2"/>
  <c r="Q20" i="2"/>
  <c r="Q23" i="2"/>
  <c r="Q24" i="2"/>
  <c r="Q25" i="2"/>
  <c r="Q26" i="2"/>
  <c r="Q27" i="2"/>
  <c r="Q28" i="2"/>
  <c r="S2" i="2"/>
  <c r="Q42" i="2" s="1"/>
  <c r="S3" i="2"/>
  <c r="S4" i="2"/>
  <c r="S5" i="2"/>
  <c r="S6" i="2"/>
  <c r="Q39" i="2" s="1"/>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K2" i="2" a="1"/>
  <c r="K2" i="2" s="1"/>
  <c r="K3" i="2" a="1"/>
  <c r="K3" i="2" s="1"/>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J48" i="2"/>
  <c r="J49" i="2"/>
  <c r="J50" i="2"/>
  <c r="J51" i="2"/>
  <c r="J52" i="2"/>
  <c r="J53" i="2"/>
  <c r="J47" i="2"/>
  <c r="Q43" i="2" l="1"/>
  <c r="Q40" i="2"/>
  <c r="Q44" i="2" s="1"/>
  <c r="Q41" i="2"/>
  <c r="L48" i="2"/>
  <c r="L47" i="2"/>
  <c r="J42" i="2"/>
  <c r="J43" i="2"/>
  <c r="J41" i="2"/>
  <c r="J40" i="2"/>
  <c r="J39" i="2"/>
  <c r="F39" i="2"/>
  <c r="F40" i="2"/>
  <c r="F41" i="2"/>
  <c r="F42" i="2"/>
  <c r="F38" i="2"/>
  <c r="C44" i="2"/>
  <c r="C45" i="2"/>
  <c r="C46" i="2"/>
  <c r="C47" i="2"/>
  <c r="C48" i="2"/>
  <c r="C49" i="2"/>
  <c r="C50" i="2"/>
  <c r="C43" i="2"/>
  <c r="C39" i="2"/>
  <c r="C40" i="2"/>
  <c r="C38" i="2"/>
  <c r="J30" i="2"/>
  <c r="J34" i="2"/>
  <c r="J25" i="2"/>
  <c r="J24" i="2"/>
  <c r="J20" i="2"/>
  <c r="J8" i="2"/>
  <c r="J29" i="2"/>
  <c r="J3" i="2"/>
  <c r="J21" i="2"/>
  <c r="J11" i="2"/>
  <c r="J31" i="2"/>
  <c r="J15" i="2"/>
  <c r="J23" i="2"/>
  <c r="J28" i="2"/>
  <c r="J18" i="2"/>
  <c r="J22" i="2"/>
  <c r="J9" i="2"/>
  <c r="J16" i="2"/>
  <c r="J14" i="2"/>
  <c r="J35" i="2"/>
  <c r="J32" i="2"/>
  <c r="J2" i="2"/>
  <c r="J26" i="2"/>
  <c r="J19" i="2"/>
  <c r="J33" i="2"/>
  <c r="J12" i="2"/>
  <c r="J27" i="2"/>
  <c r="J10" i="2"/>
  <c r="J17" i="2"/>
  <c r="J5" i="2"/>
  <c r="J4" i="2"/>
  <c r="J13" i="2"/>
  <c r="J36" i="2"/>
  <c r="J6" i="2"/>
  <c r="J7" i="2"/>
  <c r="F45" i="2" l="1"/>
  <c r="F46" i="2"/>
  <c r="C41" i="2"/>
  <c r="AH25" i="2"/>
  <c r="AI25" i="2" s="1"/>
  <c r="Y25" i="2"/>
  <c r="Z25" i="2" s="1"/>
  <c r="W25" i="2"/>
  <c r="X25" i="2" s="1"/>
  <c r="O25" i="2"/>
  <c r="P25" i="2" s="1"/>
  <c r="AH34" i="2"/>
  <c r="AI34" i="2" s="1"/>
  <c r="Y34" i="2"/>
  <c r="Z34" i="2" s="1"/>
  <c r="W34" i="2"/>
  <c r="X34" i="2" s="1"/>
  <c r="O34" i="2"/>
  <c r="P34" i="2" s="1"/>
  <c r="Q34" i="2" s="1"/>
  <c r="AH18" i="2"/>
  <c r="AI18" i="2" s="1"/>
  <c r="Y18" i="2"/>
  <c r="Z18" i="2" s="1"/>
  <c r="W18" i="2"/>
  <c r="X18" i="2" s="1"/>
  <c r="O18" i="2"/>
  <c r="P18" i="2" s="1"/>
  <c r="AH3" i="2"/>
  <c r="AI3" i="2" s="1"/>
  <c r="Y3" i="2"/>
  <c r="W3" i="2"/>
  <c r="X3" i="2" s="1"/>
  <c r="O3" i="2"/>
  <c r="P3" i="2" s="1"/>
  <c r="Q3" i="2" s="1"/>
  <c r="AH29" i="2"/>
  <c r="AI29" i="2" s="1"/>
  <c r="Y29" i="2"/>
  <c r="W29" i="2"/>
  <c r="X29" i="2" s="1"/>
  <c r="O29" i="2"/>
  <c r="P29" i="2" s="1"/>
  <c r="Q29" i="2" s="1"/>
  <c r="AH8" i="2"/>
  <c r="AI8" i="2" s="1"/>
  <c r="Y8" i="2"/>
  <c r="Z8" i="2" s="1"/>
  <c r="W8" i="2"/>
  <c r="X8" i="2" s="1"/>
  <c r="O8" i="2"/>
  <c r="P8" i="2" s="1"/>
  <c r="AH15" i="2"/>
  <c r="AI15" i="2" s="1"/>
  <c r="Y15" i="2"/>
  <c r="W15" i="2"/>
  <c r="X15" i="2" s="1"/>
  <c r="O15" i="2"/>
  <c r="P15" i="2" s="1"/>
  <c r="AH24" i="2"/>
  <c r="AI24" i="2" s="1"/>
  <c r="Y24" i="2"/>
  <c r="W24" i="2"/>
  <c r="X24" i="2" s="1"/>
  <c r="O24" i="2"/>
  <c r="P24" i="2" s="1"/>
  <c r="AH30" i="2"/>
  <c r="AI30" i="2" s="1"/>
  <c r="Y30" i="2"/>
  <c r="W30" i="2"/>
  <c r="X30" i="2" s="1"/>
  <c r="O30" i="2"/>
  <c r="P30" i="2" s="1"/>
  <c r="Q30" i="2" s="1"/>
  <c r="AH16" i="2"/>
  <c r="AI16" i="2" s="1"/>
  <c r="Y16" i="2"/>
  <c r="W16" i="2"/>
  <c r="X16" i="2" s="1"/>
  <c r="O16" i="2"/>
  <c r="P16" i="2" s="1"/>
  <c r="AH28" i="2"/>
  <c r="AI28" i="2" s="1"/>
  <c r="Y28" i="2"/>
  <c r="W28" i="2"/>
  <c r="X28" i="2" s="1"/>
  <c r="O28" i="2"/>
  <c r="P28" i="2" s="1"/>
  <c r="AH11" i="2"/>
  <c r="AI11" i="2" s="1"/>
  <c r="Y11" i="2"/>
  <c r="W11" i="2"/>
  <c r="X11" i="2" s="1"/>
  <c r="O11" i="2"/>
  <c r="P11" i="2" s="1"/>
  <c r="Q11" i="2" s="1"/>
  <c r="AH26" i="2"/>
  <c r="AI26" i="2" s="1"/>
  <c r="Y26" i="2"/>
  <c r="W26" i="2"/>
  <c r="X26" i="2" s="1"/>
  <c r="O26" i="2"/>
  <c r="P26" i="2" s="1"/>
  <c r="AH9" i="2"/>
  <c r="AI9" i="2" s="1"/>
  <c r="Y9" i="2"/>
  <c r="Z9" i="2" s="1"/>
  <c r="W9" i="2"/>
  <c r="X9" i="2" s="1"/>
  <c r="O9" i="2"/>
  <c r="AH23" i="2"/>
  <c r="AI23" i="2" s="1"/>
  <c r="Y23" i="2"/>
  <c r="W23" i="2"/>
  <c r="X23" i="2" s="1"/>
  <c r="O23" i="2"/>
  <c r="P23" i="2" s="1"/>
  <c r="AH20" i="2"/>
  <c r="AI20" i="2" s="1"/>
  <c r="Y20" i="2"/>
  <c r="W20" i="2"/>
  <c r="X20" i="2" s="1"/>
  <c r="O20" i="2"/>
  <c r="P20" i="2" s="1"/>
  <c r="AH13" i="2"/>
  <c r="AI13" i="2" s="1"/>
  <c r="Y13" i="2"/>
  <c r="W13" i="2"/>
  <c r="X13" i="2" s="1"/>
  <c r="O13" i="2"/>
  <c r="P13" i="2" s="1"/>
  <c r="AH21" i="2"/>
  <c r="AI21" i="2" s="1"/>
  <c r="Y21" i="2"/>
  <c r="Z21" i="2" s="1"/>
  <c r="W21" i="2"/>
  <c r="X21" i="2" s="1"/>
  <c r="O21" i="2"/>
  <c r="AH22" i="2"/>
  <c r="AI22" i="2" s="1"/>
  <c r="Y22" i="2"/>
  <c r="W22" i="2"/>
  <c r="X22" i="2" s="1"/>
  <c r="O22" i="2"/>
  <c r="P22" i="2" s="1"/>
  <c r="Q22" i="2" s="1"/>
  <c r="AH2" i="2"/>
  <c r="AI2" i="2" s="1"/>
  <c r="Y2" i="2"/>
  <c r="W2" i="2"/>
  <c r="X2" i="2" s="1"/>
  <c r="O2" i="2"/>
  <c r="P2" i="2" s="1"/>
  <c r="AH31" i="2"/>
  <c r="AI31" i="2" s="1"/>
  <c r="Y31" i="2"/>
  <c r="W31" i="2"/>
  <c r="X31" i="2" s="1"/>
  <c r="O31" i="2"/>
  <c r="P31" i="2" s="1"/>
  <c r="Q31" i="2" s="1"/>
  <c r="AH5" i="2"/>
  <c r="AI5" i="2" s="1"/>
  <c r="Y5" i="2"/>
  <c r="Z5" i="2" s="1"/>
  <c r="W5" i="2"/>
  <c r="X5" i="2" s="1"/>
  <c r="O5" i="2"/>
  <c r="AH19" i="2"/>
  <c r="AI19" i="2" s="1"/>
  <c r="Y19" i="2"/>
  <c r="W19" i="2"/>
  <c r="X19" i="2" s="1"/>
  <c r="O19" i="2"/>
  <c r="P19" i="2" s="1"/>
  <c r="AH17" i="2"/>
  <c r="AI17" i="2" s="1"/>
  <c r="Y17" i="2"/>
  <c r="W17" i="2"/>
  <c r="X17" i="2" s="1"/>
  <c r="O17" i="2"/>
  <c r="P17" i="2" s="1"/>
  <c r="AH7" i="2"/>
  <c r="AI7" i="2" s="1"/>
  <c r="Y7" i="2"/>
  <c r="W7" i="2"/>
  <c r="X7" i="2" s="1"/>
  <c r="O7" i="2"/>
  <c r="P7" i="2" s="1"/>
  <c r="AH27" i="2"/>
  <c r="AI27" i="2" s="1"/>
  <c r="Y27" i="2"/>
  <c r="Z27" i="2" s="1"/>
  <c r="W27" i="2"/>
  <c r="X27" i="2" s="1"/>
  <c r="O27" i="2"/>
  <c r="AH12" i="2"/>
  <c r="AI12" i="2" s="1"/>
  <c r="Y12" i="2"/>
  <c r="W12" i="2"/>
  <c r="X12" i="2" s="1"/>
  <c r="O12" i="2"/>
  <c r="P12" i="2" s="1"/>
  <c r="Q12" i="2" s="1"/>
  <c r="AH32" i="2"/>
  <c r="AI32" i="2" s="1"/>
  <c r="Y32" i="2"/>
  <c r="Z32" i="2" s="1"/>
  <c r="W32" i="2"/>
  <c r="X32" i="2" s="1"/>
  <c r="O32" i="2"/>
  <c r="P32" i="2" s="1"/>
  <c r="Q32" i="2" s="1"/>
  <c r="AH4" i="2"/>
  <c r="AI4" i="2" s="1"/>
  <c r="Y4" i="2"/>
  <c r="W4" i="2"/>
  <c r="X4" i="2" s="1"/>
  <c r="O4" i="2"/>
  <c r="P4" i="2" s="1"/>
  <c r="AH14" i="2"/>
  <c r="AI14" i="2" s="1"/>
  <c r="Y14" i="2"/>
  <c r="W14" i="2"/>
  <c r="X14" i="2" s="1"/>
  <c r="O14" i="2"/>
  <c r="P14" i="2" s="1"/>
  <c r="Q14" i="2" s="1"/>
  <c r="AH33" i="2"/>
  <c r="AI33" i="2" s="1"/>
  <c r="Y33" i="2"/>
  <c r="W33" i="2"/>
  <c r="X33" i="2" s="1"/>
  <c r="O33" i="2"/>
  <c r="P33" i="2" s="1"/>
  <c r="Q33" i="2" s="1"/>
  <c r="AH35" i="2"/>
  <c r="AI35" i="2" s="1"/>
  <c r="Y35" i="2"/>
  <c r="W35" i="2"/>
  <c r="X35" i="2" s="1"/>
  <c r="O35" i="2"/>
  <c r="P35" i="2" s="1"/>
  <c r="Q35" i="2" s="1"/>
  <c r="AH36" i="2"/>
  <c r="AI36" i="2" s="1"/>
  <c r="Y36" i="2"/>
  <c r="Z36" i="2" s="1"/>
  <c r="W36" i="2"/>
  <c r="X36" i="2" s="1"/>
  <c r="O36" i="2"/>
  <c r="P36" i="2" s="1"/>
  <c r="Q36" i="2" s="1"/>
  <c r="AH10" i="2"/>
  <c r="AI10" i="2" s="1"/>
  <c r="Y10" i="2"/>
  <c r="W10" i="2"/>
  <c r="X10" i="2" s="1"/>
  <c r="O10" i="2"/>
  <c r="P10" i="2" s="1"/>
  <c r="Q10" i="2" s="1"/>
  <c r="AH6" i="2"/>
  <c r="AI6" i="2" s="1"/>
  <c r="Y6" i="2"/>
  <c r="W6" i="2"/>
  <c r="X6" i="2" s="1"/>
  <c r="O6" i="2"/>
  <c r="P6" i="2" s="1"/>
  <c r="AB31" i="2" l="1"/>
  <c r="AC31" i="2" s="1"/>
  <c r="AF31" i="2" s="1"/>
  <c r="AG31" i="2" s="1"/>
  <c r="AB3" i="2"/>
  <c r="AC3" i="2" s="1"/>
  <c r="AE3" i="2" s="1"/>
  <c r="AB6" i="2"/>
  <c r="AC6" i="2" s="1"/>
  <c r="AE6" i="2" s="1"/>
  <c r="AB33" i="2"/>
  <c r="AC33" i="2" s="1"/>
  <c r="AF33" i="2" s="1"/>
  <c r="AG33" i="2" s="1"/>
  <c r="AB14" i="2"/>
  <c r="AC14" i="2" s="1"/>
  <c r="AF14" i="2" s="1"/>
  <c r="AG14" i="2" s="1"/>
  <c r="AB24" i="2"/>
  <c r="AC24" i="2" s="1"/>
  <c r="AE24" i="2" s="1"/>
  <c r="AB34" i="2"/>
  <c r="AC34" i="2" s="1"/>
  <c r="AE34" i="2" s="1"/>
  <c r="AB18" i="2"/>
  <c r="AC18" i="2" s="1"/>
  <c r="AF18" i="2" s="1"/>
  <c r="AG18" i="2" s="1"/>
  <c r="AB26" i="2"/>
  <c r="AC26" i="2" s="1"/>
  <c r="AF26" i="2" s="1"/>
  <c r="AG26" i="2" s="1"/>
  <c r="AB13" i="2"/>
  <c r="AC13" i="2" s="1"/>
  <c r="AE13" i="2" s="1"/>
  <c r="AB10" i="2"/>
  <c r="AC10" i="2" s="1"/>
  <c r="AF10" i="2" s="1"/>
  <c r="AG10" i="2" s="1"/>
  <c r="Z10" i="2"/>
  <c r="AB5" i="2"/>
  <c r="AC5" i="2" s="1"/>
  <c r="AF5" i="2" s="1"/>
  <c r="AG5" i="2" s="1"/>
  <c r="P5" i="2"/>
  <c r="AB21" i="2"/>
  <c r="AC21" i="2" s="1"/>
  <c r="AF21" i="2" s="1"/>
  <c r="AG21" i="2" s="1"/>
  <c r="P21" i="2"/>
  <c r="Q21" i="2" s="1"/>
  <c r="AB9" i="2"/>
  <c r="AC9" i="2" s="1"/>
  <c r="AF9" i="2" s="1"/>
  <c r="AG9" i="2" s="1"/>
  <c r="P9" i="2"/>
  <c r="Q9" i="2" s="1"/>
  <c r="Q49" i="2" s="1"/>
  <c r="Z16" i="2"/>
  <c r="AB16" i="2"/>
  <c r="AC16" i="2" s="1"/>
  <c r="AF16" i="2" s="1"/>
  <c r="Z33" i="2"/>
  <c r="AB19" i="2"/>
  <c r="AC19" i="2" s="1"/>
  <c r="AE19" i="2" s="1"/>
  <c r="Z19" i="2"/>
  <c r="AB22" i="2"/>
  <c r="AC22" i="2" s="1"/>
  <c r="AE22" i="2" s="1"/>
  <c r="Z22" i="2"/>
  <c r="AB23" i="2"/>
  <c r="AC23" i="2" s="1"/>
  <c r="AE23" i="2" s="1"/>
  <c r="Z23" i="2"/>
  <c r="AB28" i="2"/>
  <c r="AC28" i="2" s="1"/>
  <c r="AE28" i="2" s="1"/>
  <c r="Z28" i="2"/>
  <c r="AB15" i="2"/>
  <c r="AC15" i="2" s="1"/>
  <c r="AF15" i="2" s="1"/>
  <c r="AG15" i="2" s="1"/>
  <c r="Z15" i="2"/>
  <c r="Z6" i="2"/>
  <c r="Z35" i="2"/>
  <c r="AB35" i="2"/>
  <c r="AC35" i="2" s="1"/>
  <c r="AE35" i="2" s="1"/>
  <c r="AB7" i="2"/>
  <c r="AC7" i="2" s="1"/>
  <c r="AF7" i="2" s="1"/>
  <c r="AG7" i="2" s="1"/>
  <c r="Z7" i="2"/>
  <c r="Z24" i="2"/>
  <c r="AB8" i="2"/>
  <c r="AC8" i="2" s="1"/>
  <c r="AB4" i="2"/>
  <c r="AC4" i="2" s="1"/>
  <c r="AF4" i="2" s="1"/>
  <c r="AG4" i="2" s="1"/>
  <c r="Z31" i="2"/>
  <c r="Z13" i="2"/>
  <c r="Z26" i="2"/>
  <c r="AB36" i="2"/>
  <c r="AC36" i="2" s="1"/>
  <c r="AE36" i="2" s="1"/>
  <c r="Z4" i="2"/>
  <c r="AB27" i="2"/>
  <c r="AC27" i="2" s="1"/>
  <c r="AF27" i="2" s="1"/>
  <c r="AG27" i="2" s="1"/>
  <c r="Z3" i="2"/>
  <c r="AB25" i="2"/>
  <c r="AC25" i="2" s="1"/>
  <c r="AE25" i="2" s="1"/>
  <c r="AB17" i="2"/>
  <c r="AC17" i="2" s="1"/>
  <c r="Z17" i="2"/>
  <c r="Z14" i="2"/>
  <c r="AD3" i="2"/>
  <c r="AB2" i="2"/>
  <c r="AC2" i="2" s="1"/>
  <c r="Z2" i="2"/>
  <c r="AB11" i="2"/>
  <c r="AC11" i="2" s="1"/>
  <c r="Z11" i="2"/>
  <c r="AB12" i="2"/>
  <c r="AC12" i="2" s="1"/>
  <c r="AB30" i="2"/>
  <c r="AC30" i="2" s="1"/>
  <c r="Z30" i="2"/>
  <c r="AB20" i="2"/>
  <c r="AC20" i="2" s="1"/>
  <c r="Z20" i="2"/>
  <c r="AB32" i="2"/>
  <c r="AC32" i="2" s="1"/>
  <c r="Z12" i="2"/>
  <c r="P27" i="2"/>
  <c r="AB29" i="2"/>
  <c r="AC29" i="2" s="1"/>
  <c r="Z29" i="2"/>
  <c r="Q48" i="2" l="1"/>
  <c r="Q47" i="2"/>
  <c r="Q46" i="2"/>
  <c r="Q50" i="2"/>
  <c r="H41" i="2"/>
  <c r="H40" i="2"/>
  <c r="H42" i="2"/>
  <c r="H39" i="2"/>
  <c r="AF8" i="2"/>
  <c r="AD8" i="2"/>
  <c r="H43" i="2"/>
  <c r="AD19" i="2"/>
  <c r="AF24" i="2"/>
  <c r="AG24" i="2" s="1"/>
  <c r="AD6" i="2"/>
  <c r="AD23" i="2"/>
  <c r="AD9" i="2"/>
  <c r="AD24" i="2"/>
  <c r="AD4" i="2"/>
  <c r="AF28" i="2"/>
  <c r="AG28" i="2" s="1"/>
  <c r="AE31" i="2"/>
  <c r="AE14" i="2"/>
  <c r="AD31" i="2"/>
  <c r="AE7" i="2"/>
  <c r="AD14" i="2"/>
  <c r="AD15" i="2"/>
  <c r="AD25" i="2"/>
  <c r="AD13" i="2"/>
  <c r="AD36" i="2"/>
  <c r="AJ10" i="2"/>
  <c r="AF34" i="2"/>
  <c r="AG34" i="2" s="1"/>
  <c r="AF6" i="2"/>
  <c r="AG6" i="2" s="1"/>
  <c r="AJ18" i="2"/>
  <c r="AF3" i="2"/>
  <c r="AG3" i="2" s="1"/>
  <c r="AD21" i="2"/>
  <c r="AE10" i="2"/>
  <c r="AE18" i="2"/>
  <c r="AD7" i="2"/>
  <c r="AD34" i="2"/>
  <c r="AD33" i="2"/>
  <c r="AE8" i="2"/>
  <c r="AF19" i="2"/>
  <c r="AG19" i="2" s="1"/>
  <c r="AE15" i="2"/>
  <c r="AE33" i="2"/>
  <c r="AD26" i="2"/>
  <c r="AE21" i="2"/>
  <c r="AD5" i="2"/>
  <c r="AJ33" i="2"/>
  <c r="AF35" i="2"/>
  <c r="AG35" i="2" s="1"/>
  <c r="AE9" i="2"/>
  <c r="AF23" i="2"/>
  <c r="AG23" i="2" s="1"/>
  <c r="AF25" i="2"/>
  <c r="AG25" i="2" s="1"/>
  <c r="AE26" i="2"/>
  <c r="AF13" i="2"/>
  <c r="AG13" i="2" s="1"/>
  <c r="AD27" i="2"/>
  <c r="AD35" i="2"/>
  <c r="AJ15" i="2"/>
  <c r="AD18" i="2"/>
  <c r="AF22" i="2"/>
  <c r="AG22" i="2" s="1"/>
  <c r="AJ7" i="2"/>
  <c r="AE5" i="2"/>
  <c r="AD10" i="2"/>
  <c r="AE27" i="2"/>
  <c r="AJ21" i="2"/>
  <c r="AG16" i="2"/>
  <c r="AJ16" i="2"/>
  <c r="AG8" i="2"/>
  <c r="AJ8" i="2"/>
  <c r="AD16" i="2"/>
  <c r="AD22" i="2"/>
  <c r="AD28" i="2"/>
  <c r="AF36" i="2"/>
  <c r="AG36" i="2" s="1"/>
  <c r="AE4" i="2"/>
  <c r="AE16" i="2"/>
  <c r="AJ26" i="2"/>
  <c r="AJ31" i="2"/>
  <c r="AJ9" i="2"/>
  <c r="AJ5" i="2"/>
  <c r="AF12" i="2"/>
  <c r="AE12" i="2"/>
  <c r="AD12" i="2"/>
  <c r="AF11" i="2"/>
  <c r="AE11" i="2"/>
  <c r="AD11" i="2"/>
  <c r="AE32" i="2"/>
  <c r="AF32" i="2"/>
  <c r="AD32" i="2"/>
  <c r="AF20" i="2"/>
  <c r="AE20" i="2"/>
  <c r="AD20" i="2"/>
  <c r="AJ27" i="2"/>
  <c r="AF29" i="2"/>
  <c r="AE29" i="2"/>
  <c r="AD29" i="2"/>
  <c r="AF30" i="2"/>
  <c r="AE30" i="2"/>
  <c r="AD30" i="2"/>
  <c r="AF2" i="2"/>
  <c r="AE2" i="2"/>
  <c r="AD2" i="2"/>
  <c r="AF17" i="2"/>
  <c r="AE17" i="2"/>
  <c r="AD17" i="2"/>
  <c r="AJ14" i="2"/>
  <c r="AJ4" i="2"/>
  <c r="Q51" i="2" l="1"/>
  <c r="H44" i="2"/>
  <c r="AJ24" i="2"/>
  <c r="AJ3" i="2"/>
  <c r="AJ34" i="2"/>
  <c r="AJ36" i="2"/>
  <c r="AJ28" i="2"/>
  <c r="AJ19" i="2"/>
  <c r="AJ22" i="2"/>
  <c r="AJ6" i="2"/>
  <c r="AJ13" i="2"/>
  <c r="AJ23" i="2"/>
  <c r="AJ25" i="2"/>
  <c r="AJ35" i="2"/>
  <c r="AG17" i="2"/>
  <c r="AJ17" i="2"/>
  <c r="AG11" i="2"/>
  <c r="AJ11" i="2"/>
  <c r="AG20" i="2"/>
  <c r="AJ20" i="2"/>
  <c r="AG30" i="2"/>
  <c r="AJ30" i="2"/>
  <c r="AG2" i="2"/>
  <c r="AJ2" i="2"/>
  <c r="AG29" i="2"/>
  <c r="AJ29" i="2"/>
  <c r="AG32" i="2"/>
  <c r="AJ32" i="2"/>
  <c r="AG12" i="2"/>
  <c r="AJ12" i="2"/>
  <c r="C2" i="7" l="1"/>
  <c r="C3" i="7"/>
  <c r="C4" i="7"/>
  <c r="C5" i="7"/>
  <c r="C6" i="7"/>
  <c r="C7" i="7"/>
  <c r="C8" i="7"/>
  <c r="C9" i="7"/>
  <c r="C10" i="7"/>
  <c r="C11" i="7"/>
  <c r="C12" i="7"/>
  <c r="C13" i="7"/>
  <c r="C14" i="7"/>
  <c r="C15" i="7"/>
  <c r="C16" i="7"/>
  <c r="C17" i="7"/>
  <c r="C1"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<sst xmlns="http://schemas.openxmlformats.org/spreadsheetml/2006/main" count="474" uniqueCount="189">
  <si>
    <t>Gender</t>
  </si>
  <si>
    <t>Location of Residence</t>
  </si>
  <si>
    <t>Employment Status</t>
  </si>
  <si>
    <t>Age Bracket</t>
  </si>
  <si>
    <t>Marital Status</t>
  </si>
  <si>
    <t xml:space="preserve">Travel cost </t>
  </si>
  <si>
    <t>Travel cost</t>
  </si>
  <si>
    <t>Time of Departure (from Home)</t>
  </si>
  <si>
    <t>Time of Departure (from Work)</t>
  </si>
  <si>
    <t>Time of Arrival (at Home)</t>
  </si>
  <si>
    <t>Start of Work (time)</t>
  </si>
  <si>
    <t>End of Work (time)</t>
  </si>
  <si>
    <t>Single</t>
  </si>
  <si>
    <t>Married</t>
  </si>
  <si>
    <t>Probationary</t>
  </si>
  <si>
    <t>Fixed Term/Contractual</t>
  </si>
  <si>
    <t>Regular Employee</t>
  </si>
  <si>
    <t xml:space="preserve">Caloocan, </t>
  </si>
  <si>
    <t xml:space="preserve">Malabon, </t>
  </si>
  <si>
    <t xml:space="preserve">Navotas, </t>
  </si>
  <si>
    <t xml:space="preserve">Valenzuela, </t>
  </si>
  <si>
    <t xml:space="preserve">Quezon City, </t>
  </si>
  <si>
    <t xml:space="preserve">Marikina, </t>
  </si>
  <si>
    <t xml:space="preserve">Pasig, </t>
  </si>
  <si>
    <t xml:space="preserve">Taguig, </t>
  </si>
  <si>
    <t xml:space="preserve">Makati, </t>
  </si>
  <si>
    <t xml:space="preserve">Manila, </t>
  </si>
  <si>
    <t xml:space="preserve">Mandaluyong, </t>
  </si>
  <si>
    <t xml:space="preserve">San Juan, </t>
  </si>
  <si>
    <t xml:space="preserve">Pasay, </t>
  </si>
  <si>
    <t xml:space="preserve">Parañaque, </t>
  </si>
  <si>
    <t xml:space="preserve">Las Piñas, </t>
  </si>
  <si>
    <t xml:space="preserve">Muntinlupa, </t>
  </si>
  <si>
    <t xml:space="preserve">Pateros, </t>
  </si>
  <si>
    <t>Workplace Location</t>
  </si>
  <si>
    <t>Time of Arrival (at Work)</t>
  </si>
  <si>
    <t>21-25</t>
  </si>
  <si>
    <t>Male</t>
  </si>
  <si>
    <t>Caloocan</t>
  </si>
  <si>
    <t>Makati</t>
  </si>
  <si>
    <t>Female</t>
  </si>
  <si>
    <t>Taguig</t>
  </si>
  <si>
    <t>Others</t>
  </si>
  <si>
    <t>Cavite</t>
  </si>
  <si>
    <t>Manila</t>
  </si>
  <si>
    <t>Mandaluyong</t>
  </si>
  <si>
    <t>Muntinlupa</t>
  </si>
  <si>
    <t>Quezon City</t>
  </si>
  <si>
    <t>Pasig</t>
  </si>
  <si>
    <t>26-30</t>
  </si>
  <si>
    <t>Pasay</t>
  </si>
  <si>
    <t>Rizal</t>
  </si>
  <si>
    <t>Laguna</t>
  </si>
  <si>
    <t>31-35</t>
  </si>
  <si>
    <t>Marikina</t>
  </si>
  <si>
    <t>Cainta, Rizal</t>
  </si>
  <si>
    <t>Las Piñas</t>
  </si>
  <si>
    <t>Parañaque</t>
  </si>
  <si>
    <t>If others,</t>
  </si>
  <si>
    <t>If others,2</t>
  </si>
  <si>
    <t>Prefer Not to Say</t>
  </si>
  <si>
    <t>Malabon</t>
  </si>
  <si>
    <t>Navotas</t>
  </si>
  <si>
    <t>Pateros</t>
  </si>
  <si>
    <t>San Juan</t>
  </si>
  <si>
    <t>Valenzuela</t>
  </si>
  <si>
    <t>Travel Time from Home to Work</t>
  </si>
  <si>
    <t>Travel Time from Home to Work in Decimals</t>
  </si>
  <si>
    <t>Total Work Hours</t>
  </si>
  <si>
    <t>Total Work Hours in Decimals</t>
  </si>
  <si>
    <t>Travel Time from Work to Home</t>
  </si>
  <si>
    <t>Travel Time from Work to Home in Decimal</t>
  </si>
  <si>
    <t>Total Travel Time</t>
  </si>
  <si>
    <t>Total travel time in hr</t>
  </si>
  <si>
    <t>% of commute / (work + commute)</t>
  </si>
  <si>
    <t>% of commute / day</t>
  </si>
  <si>
    <t>Total travel time (hr) in a month (22 days)</t>
  </si>
  <si>
    <t>In days</t>
  </si>
  <si>
    <t>Total Cost</t>
  </si>
  <si>
    <t>Total Cost in a month (22 days)</t>
  </si>
  <si>
    <t>The rest of the day</t>
  </si>
  <si>
    <t>Progressive Capstone</t>
  </si>
  <si>
    <t>Week 1</t>
  </si>
  <si>
    <t>I. Overview of Data Visualization</t>
  </si>
  <si>
    <t>Capstone step 1 - Looking at the same data through a different lens</t>
  </si>
  <si>
    <t>Review your submitted capstone from SP201</t>
  </si>
  <si>
    <t>For each iteration of your work in this course, use a new sheet, properly labeled, on your spreadsheet file. In the interest of standardization, I strongly suggest using the Excel format.</t>
  </si>
  <si>
    <t>Filename: SP501_yourname_week1.xls</t>
  </si>
  <si>
    <t>*If you use any other type of spreadsheet file, your peers may not be able to open it for the peer-graded activity, and cause delays to your progress.*</t>
  </si>
  <si>
    <t>Create a new table with the raw results from your initial survey.</t>
  </si>
  <si>
    <t>Identify the following:</t>
  </si>
  <si>
    <t>A. who your intended audience is,</t>
  </si>
  <si>
    <t>B. what data, insight, or finding you wish to share, and</t>
  </si>
  <si>
    <t>C. how will you want people to act - the goal of your presentation</t>
  </si>
  <si>
    <t>Define your visualization(s) from SP201.</t>
  </si>
  <si>
    <t>At this point, it is best to make improvements to them based on the new things you learned.</t>
  </si>
  <si>
    <t>It is important that you also describe each change and your reasons for tweaking it.</t>
  </si>
  <si>
    <t>Ex.</t>
  </si>
  <si>
    <r>
      <t>Previously (SP201)</t>
    </r>
    <r>
      <rPr>
        <sz val="10"/>
        <color rgb="FF38761D"/>
        <rFont val="Arial"/>
        <family val="2"/>
      </rPr>
      <t>: I listed the number of respondents (vertical) versus their age (horizontal) in a bar chart. I divided the respondents by five year intervals. Eg. 21-25. This seems to be a comparison chart.</t>
    </r>
  </si>
  <si>
    <r>
      <t>Improvements:</t>
    </r>
    <r>
      <rPr>
        <sz val="10"/>
        <color rgb="FF38761D"/>
        <rFont val="Arial"/>
        <family val="2"/>
      </rPr>
      <t> I have grouped the respondents by decade, to see if access to technology (online format) is related to age.</t>
    </r>
  </si>
  <si>
    <r>
      <t>Hypothesis:</t>
    </r>
    <r>
      <rPr>
        <sz val="10"/>
        <color rgb="FF38761D"/>
        <rFont val="Arial"/>
        <family val="2"/>
      </rPr>
      <t> Access to technology may be limited by internet availability, type of profession or geographic location. In future surveys, I would want to ask more about these details.</t>
    </r>
  </si>
  <si>
    <t>A. Intended Audience</t>
  </si>
  <si>
    <t>NCR Workforce</t>
  </si>
  <si>
    <t>Previously (SP201):</t>
  </si>
  <si>
    <t>Improvements:</t>
  </si>
  <si>
    <t>Hypothesis:</t>
  </si>
  <si>
    <t>B. Most people live outside the city they work at</t>
  </si>
  <si>
    <t>C. To develop transportation infrastructure to make travel easier between cities</t>
  </si>
  <si>
    <t>I used a pie chart to represent the average time an employee has left after spending their day during weekdays on: travelling and work</t>
  </si>
  <si>
    <t>Total</t>
  </si>
  <si>
    <t>15-20</t>
  </si>
  <si>
    <t>36-40</t>
  </si>
  <si>
    <t>41-50</t>
  </si>
  <si>
    <t>51-60</t>
  </si>
  <si>
    <t>61-65</t>
  </si>
  <si>
    <t>Widowed</t>
  </si>
  <si>
    <t>Separated</t>
  </si>
  <si>
    <t>Divorced</t>
  </si>
  <si>
    <t>Does he live within the city he works at?</t>
  </si>
  <si>
    <t>Yes</t>
  </si>
  <si>
    <t>No</t>
  </si>
  <si>
    <t>Travel Cost</t>
  </si>
  <si>
    <t>People has half a day spent on travelling and work and half a day spent at home and/or other activities</t>
  </si>
  <si>
    <t>I have more better presentation of my data based on gender, age, workplace locations and travelling cost</t>
  </si>
  <si>
    <t>Travel Time</t>
  </si>
  <si>
    <t>total</t>
  </si>
  <si>
    <t>Less than 30 minutes</t>
  </si>
  <si>
    <t>More than 1.5 hrs</t>
  </si>
  <si>
    <t>Less than P20</t>
  </si>
  <si>
    <t>P20 to P50</t>
  </si>
  <si>
    <t>30-45 minutes</t>
  </si>
  <si>
    <t>45-60 minutes</t>
  </si>
  <si>
    <t>1-1.5 hrs</t>
  </si>
  <si>
    <t>P50 to P100</t>
  </si>
  <si>
    <t>P100 to P150</t>
  </si>
  <si>
    <t>More than P150</t>
  </si>
  <si>
    <t>II. Charts and Graphs by Type of Data Story, part 1</t>
  </si>
  <si>
    <t>A. Composition</t>
  </si>
  <si>
    <t>B. Comparison</t>
  </si>
  <si>
    <t>Capstone step 2 - What type of data story can best explain your results?</t>
  </si>
  <si>
    <t>Filename: SP501_yourname_week2.xls</t>
  </si>
  <si>
    <t>New Sheet: Week 2</t>
  </si>
  <si>
    <t>According to these definitions, where does your data fall under?</t>
  </si>
  <si>
    <t>Are there aspects to your study you can portray using composition and comparison?</t>
  </si>
  <si>
    <t>Provide one for each. You may slice your data according to how you initially planned your capstone.</t>
  </si>
  <si>
    <t>How else can you develop your data to become meaningful to your audience?</t>
  </si>
  <si>
    <t>Continue improving your charts and make descriptions about the data you’ve gathered. If possible, compare to the other aspects of the data you gathered or do a follow-up.</t>
  </si>
  <si>
    <t>On a separate sheet, plot your newly developed charts and add your description under.</t>
  </si>
  <si>
    <t>Remember you wish to convey your analysis to your co-learners, and these should be readily understandable.</t>
  </si>
  <si>
    <t>Most of the respondents are aged bt. 21-25.</t>
  </si>
  <si>
    <t>I would like to see how age correlates to the</t>
  </si>
  <si>
    <t>willingness to relocate due to work.</t>
  </si>
  <si>
    <t>II. Charts and Graphs by Type of Data Story, part 2</t>
  </si>
  <si>
    <t>C. Distribution</t>
  </si>
  <si>
    <t>D. Relationship</t>
  </si>
  <si>
    <t>Capstone step 3 - What other type of data story can best explain your results?</t>
  </si>
  <si>
    <t>Filename: SP501_yourname_week3.xls</t>
  </si>
  <si>
    <t>New Sheet: Week 3</t>
  </si>
  <si>
    <t>Again, apply the definition to your data, keeping in mind what you wish to convey based on your analysis.</t>
  </si>
  <si>
    <t>Continue improving your charts and make descriptions about the data you’ve gathered.</t>
  </si>
  <si>
    <t>Do they live within the city they work at? (TAGUIG)</t>
  </si>
  <si>
    <t>Does he live within the city he works at? (TAGUIG)</t>
  </si>
  <si>
    <t>yes</t>
  </si>
  <si>
    <t>no</t>
  </si>
  <si>
    <t>As Taguig is the majority workplace of my respondents, only a few live within the city.</t>
  </si>
  <si>
    <t>Travel cost (taguig only)</t>
  </si>
  <si>
    <t>travel cost who lives within taguig</t>
  </si>
  <si>
    <t>46% works in Taguig City, but only 2 or 12% of these live within the city.</t>
  </si>
  <si>
    <t>Travel Time from Home to Work in Decimals (taguig)</t>
  </si>
  <si>
    <t>66% travels atleast an hour going to Taguig from their homes.</t>
  </si>
  <si>
    <t>Marital Status (taguig)</t>
  </si>
  <si>
    <t>are they single?</t>
  </si>
  <si>
    <t>15/16 are single employees.</t>
  </si>
  <si>
    <t>By doing so, I propose to build more affordable boarding house, domitory or house for those</t>
  </si>
  <si>
    <t xml:space="preserve">who work in Taguig City since the majority is single individua. </t>
  </si>
  <si>
    <t>This could lessen the travel time they spend doing everyday going from home to workplace.</t>
  </si>
  <si>
    <t>III. Chart Design Principles</t>
  </si>
  <si>
    <t>IV. Data Visualization Ethics</t>
  </si>
  <si>
    <t>Capstone step 4 - Ethics and Principles</t>
  </si>
  <si>
    <t>Filename: SP501_yourname_week4.xls</t>
  </si>
  <si>
    <t>New Sheet: Week 4</t>
  </si>
  <si>
    <t>Review your data sets and apply these principles and ethics to your charts. If you were invited to a policy design program, what would be the title of your work?</t>
  </si>
  <si>
    <t>Again, the emphasis is in being concise and accurate, to get people to act. Write a short description or script to accompany your work.</t>
  </si>
  <si>
    <t>Sound byte:</t>
  </si>
  <si>
    <t>The ability to weave stories with data enables practitioners to be more effective in engaging their audience. Hopefully this course gives you a grasp at the enormous potential of visualization and data storytelling. This must also be applied responsibly, while maintaining the integrity of the information.</t>
  </si>
  <si>
    <t>This study has allowed to see the daily travel of indiviuals who work live and work in NCR. Only a few number of individuals live within the vicinity of their workplace. This showed that either the rent is high within NCR or living at their own residence saves them more money. Also, it is possible that the respondents who are single and does not live at the same city as their workplace could have other dependents other than themselves or a breadwinner.</t>
  </si>
  <si>
    <t>Possible improvements:</t>
  </si>
  <si>
    <t>1. Improve number of respondents</t>
  </si>
  <si>
    <t>2. 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</si>
</sst>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400]h:mm:ss\ AM/PM"/>
    <numFmt numFmtId="165" formatCode="h:mm;@"/>
    <numFmt numFmtId="166" formatCode="[$-409]h:mm\ AM/PM;@"/>
    <numFmt numFmtId="167" formatCode="[$PHP]\ #,##0.00"/>
  </numFmts>
  <fonts count="10" x14ac:knownFonts="1">
    <font>
      <sz val="11"/>
      <color theme="1"/>
      <name val="Calibri"/>
      <family val="2"/>
      <scheme val="minor"/>
    </font>
    <font>
      <sz val="8"/>
      <name val="Calibri"/>
      <family val="2"/>
      <scheme val="minor"/>
    </font>
    <font>
      <sz val="11"/>
      <color rgb="FF1E1E1E"/>
      <name val="Calibri"/>
      <family val="2"/>
      <scheme val="minor"/>
    </font>
    <font>
      <sz val="10"/>
      <color rgb="FF38761D"/>
      <name val="Arial"/>
      <family val="2"/>
    </font>
    <font>
      <u/>
      <sz val="10"/>
      <color rgb="FF38761D"/>
      <name val="Arial"/>
      <family val="2"/>
    </font>
    <font>
      <sz val="11"/>
      <color theme="9" tint="-0.249977111117893"/>
      <name val="Calibri"/>
      <family val="2"/>
      <scheme val="minor"/>
    </font>
    <font>
      <sz val="11"/>
      <color rgb="FF38761D"/>
      <name val="Calibri"/>
      <family val="2"/>
      <scheme val="minor"/>
    </font>
    <font>
      <sz val="10"/>
      <color rgb="FF000000"/>
      <name val="Arial"/>
      <family val="2"/>
    </font>
    <font>
      <sz val="12"/>
      <color rgb="FF000000"/>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right/>
      <top style="thin">
        <color theme="6"/>
      </top>
      <bottom/>
      <diagonal/>
    </border>
  </borders>
  <cellStyleXfs count="1">
    <xf numFmtId="0" fontId="0" fillId="0" borderId="0"/>
  </cellStyleXfs>
  <cellXfs count="33">
    <xf numFmtId="0" fontId="0" fillId="0" borderId="0" xfId="0"/>
    <xf numFmtId="0" fontId="0" fillId="0" borderId="0" xfId="0" applyAlignment="1">
      <alignment horizontal="center" vertical="top" wrapText="1"/>
    </xf>
    <xf numFmtId="164" fontId="0" fillId="0" borderId="0" xfId="0" applyNumberFormat="1" applyAlignment="1">
      <alignment horizontal="center" vertical="top" wrapText="1"/>
    </xf>
    <xf numFmtId="165" fontId="0" fillId="0" borderId="0" xfId="0" applyNumberFormat="1" applyAlignment="1">
      <alignment horizontal="center" vertical="top" wrapText="1"/>
    </xf>
    <xf numFmtId="2" fontId="0" fillId="0" borderId="0" xfId="0" applyNumberFormat="1" applyAlignment="1">
      <alignment horizontal="center" vertical="top" wrapText="1"/>
    </xf>
    <xf numFmtId="10" fontId="0" fillId="0" borderId="0" xfId="0" applyNumberFormat="1" applyAlignment="1">
      <alignment horizontal="center" vertical="top" wrapText="1"/>
    </xf>
    <xf numFmtId="166" fontId="0" fillId="0" borderId="0" xfId="0" applyNumberFormat="1" applyAlignment="1">
      <alignment horizontal="center" vertical="top"/>
    </xf>
    <xf numFmtId="10" fontId="0" fillId="0" borderId="0" xfId="0" applyNumberFormat="1" applyAlignment="1">
      <alignment horizontal="center" vertical="top"/>
    </xf>
    <xf numFmtId="2" fontId="0" fillId="0" borderId="0" xfId="0" applyNumberFormat="1" applyAlignment="1">
      <alignment horizontal="center" vertical="top"/>
    </xf>
    <xf numFmtId="167" fontId="0" fillId="0" borderId="0" xfId="0" applyNumberFormat="1" applyAlignment="1">
      <alignment horizontal="center" vertical="top"/>
    </xf>
    <xf numFmtId="0" fontId="0" fillId="0" borderId="0" xfId="0" applyAlignment="1">
      <alignment horizontal="center" vertical="top"/>
    </xf>
    <xf numFmtId="0" fontId="0" fillId="0" borderId="0" xfId="0"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2" fontId="0" fillId="0" borderId="0" xfId="0" applyNumberFormat="1" applyAlignment="1">
      <alignment horizontal="center"/>
    </xf>
    <xf numFmtId="165" fontId="2" fillId="0" borderId="0" xfId="0" applyNumberFormat="1" applyFont="1" applyAlignment="1">
      <alignment horizontal="center"/>
    </xf>
    <xf numFmtId="2" fontId="2" fillId="0" borderId="0" xfId="0" applyNumberFormat="1" applyFont="1" applyAlignment="1">
      <alignment horizontal="center"/>
    </xf>
    <xf numFmtId="10" fontId="0" fillId="0" borderId="0" xfId="0" applyNumberFormat="1" applyAlignment="1">
      <alignment horizontal="center"/>
    </xf>
    <xf numFmtId="0" fontId="3" fillId="0" borderId="0" xfId="0" applyFont="1"/>
    <xf numFmtId="0" fontId="4" fillId="0" borderId="0" xfId="0" applyFont="1"/>
    <xf numFmtId="0" fontId="0" fillId="0" borderId="0" xfId="0" applyAlignment="1">
      <alignment horizontal="left" vertical="top"/>
    </xf>
    <xf numFmtId="0" fontId="0" fillId="0" borderId="0" xfId="0" applyAlignment="1">
      <alignment horizontal="left" vertical="top" wrapText="1"/>
    </xf>
    <xf numFmtId="167" fontId="0" fillId="0" borderId="0" xfId="0" applyNumberFormat="1" applyAlignment="1">
      <alignment horizontal="center" vertical="top" wrapText="1"/>
    </xf>
    <xf numFmtId="167" fontId="0" fillId="0" borderId="0" xfId="0" applyNumberFormat="1" applyAlignment="1">
      <alignment horizontal="center"/>
    </xf>
    <xf numFmtId="0" fontId="5" fillId="0" borderId="0" xfId="0" applyFont="1"/>
    <xf numFmtId="0" fontId="0" fillId="0" borderId="0" xfId="0" applyFont="1"/>
    <xf numFmtId="0" fontId="6" fillId="0" borderId="0" xfId="0" applyFont="1"/>
    <xf numFmtId="0" fontId="0" fillId="0" borderId="1" xfId="0" applyFont="1" applyBorder="1" applyAlignment="1">
      <alignment horizontal="center"/>
    </xf>
    <xf numFmtId="0" fontId="7" fillId="0" borderId="0" xfId="0" applyFont="1" applyAlignment="1">
      <alignment horizontal="left" vertical="top" wrapText="1"/>
    </xf>
    <xf numFmtId="0" fontId="7" fillId="0" borderId="0" xfId="0" applyFont="1" applyAlignment="1">
      <alignment vertical="top" wrapText="1"/>
    </xf>
    <xf numFmtId="0" fontId="8" fillId="0" borderId="0" xfId="0" applyFont="1" applyAlignment="1">
      <alignment horizontal="left" vertical="top" wrapText="1"/>
    </xf>
    <xf numFmtId="0" fontId="9" fillId="0" borderId="0" xfId="0" applyFont="1"/>
    <xf numFmtId="0" fontId="8" fillId="0" borderId="0" xfId="0" applyFont="1"/>
  </cellXfs>
  <cellStyles count="1">
    <cellStyle name="Normal" xfId="0" builtinId="0"/>
  </cellStyles>
  <dxfs count="38">
    <dxf>
      <numFmt numFmtId="2" formatCode="0.00"/>
      <alignment horizontal="center" vertical="top" textRotation="0" wrapText="0" indent="0" justifyLastLine="0" shrinkToFit="0" readingOrder="0"/>
    </dxf>
    <dxf>
      <numFmt numFmtId="167" formatCode="[$PHP]\ #,##0.00"/>
      <alignment horizontal="center" vertical="top" textRotation="0" wrapText="0" indent="0" justifyLastLine="0" shrinkToFit="0" readingOrder="0"/>
    </dxf>
    <dxf>
      <numFmt numFmtId="167" formatCode="[$PHP]\ #,##0.00"/>
      <alignment horizontal="center" vertical="top" textRotation="0" wrapText="0" indent="0" justifyLastLine="0" shrinkToFit="0" readingOrder="0"/>
    </dxf>
    <dxf>
      <numFmt numFmtId="2" formatCode="0.00"/>
      <alignment horizontal="center" vertical="top" textRotation="0" wrapText="0" indent="0" justifyLastLine="0" shrinkToFit="0" readingOrder="0"/>
    </dxf>
    <dxf>
      <numFmt numFmtId="2" formatCode="0.00"/>
      <alignment horizontal="center" vertical="top" textRotation="0" wrapText="0" indent="0" justifyLastLine="0" shrinkToFit="0" readingOrder="0"/>
    </dxf>
    <dxf>
      <numFmt numFmtId="14" formatCode="0.00%"/>
      <alignment horizontal="center" vertical="top" textRotation="0" wrapText="0" indent="0" justifyLastLine="0" shrinkToFit="0" readingOrder="0"/>
    </dxf>
    <dxf>
      <numFmt numFmtId="14"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165" formatCode="h:mm;@"/>
      <alignment horizont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67" formatCode="[$PHP]\ #,##0.00"/>
      <fill>
        <patternFill patternType="solid">
          <fgColor indexed="64"/>
          <bgColor rgb="FFFFFF00"/>
        </patternFill>
      </fill>
      <alignment horizontal="center" vertical="top" textRotation="0" wrapText="0" indent="0" justifyLastLine="0" shrinkToFit="0" readingOrder="0"/>
    </dxf>
    <dxf>
      <font>
        <b val="0"/>
        <i val="0"/>
        <strike val="0"/>
        <condense val="0"/>
        <extend val="0"/>
        <outline val="0"/>
        <shadow val="0"/>
        <u val="none"/>
        <vertAlign val="baseline"/>
        <sz val="11"/>
        <color rgb="FF1E1E1E"/>
        <name val="Calibri"/>
        <family val="2"/>
        <scheme val="minor"/>
      </font>
      <numFmt numFmtId="165" formatCode="h:mm;@"/>
      <fill>
        <patternFill patternType="none">
          <fgColor indexed="64"/>
          <bgColor indexed="65"/>
        </patternFill>
      </fill>
      <alignment horizontal="center" vertical="bottom" textRotation="0" wrapText="0" indent="0" justifyLastLine="0" shrinkToFit="0" readingOrder="0"/>
    </dxf>
    <dxf>
      <font>
        <b/>
      </font>
      <numFmt numFmtId="165" formatCode="h:mm;@"/>
      <fill>
        <patternFill patternType="solid">
          <fgColor indexed="64"/>
          <bgColor rgb="FFFFFF00"/>
        </patternFill>
      </fill>
      <alignment horizontal="center" textRotation="0" wrapText="0" indent="0" justifyLastLine="0" shrinkToFit="0" readingOrder="0"/>
    </dxf>
    <dxf>
      <numFmt numFmtId="2" formatCode="0.00"/>
      <alignment horizontal="center" vertical="bottom" textRotation="0" wrapText="0" indent="0" justifyLastLine="0" shrinkToFit="0" readingOrder="0"/>
    </dxf>
    <dxf>
      <numFmt numFmtId="165" formatCode="h:mm;@"/>
      <alignment horizontal="center" textRotation="0" wrapText="0" indent="0" justifyLastLine="0" shrinkToFit="0" readingOrder="0"/>
    </dxf>
    <dxf>
      <numFmt numFmtId="166" formatCode="[$-409]h:mm\ AM/PM;@"/>
      <alignment horizontal="center" textRotation="0" wrapText="0" indent="0" justifyLastLine="0" shrinkToFit="0" readingOrder="0"/>
    </dxf>
    <dxf>
      <numFmt numFmtId="166" formatCode="[$-409]h:mm\ AM/PM;@"/>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409]h:mm\ AM/PM;@"/>
      <alignment horizontal="center" vertical="top" textRotation="0" wrapText="0" indent="0" justifyLastLine="0" shrinkToFit="0" readingOrder="0"/>
    </dxf>
    <dxf>
      <numFmt numFmtId="167" formatCode="[$PHP]\ #,##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PHP]\ #,##0.00"/>
      <fill>
        <patternFill patternType="solid">
          <fgColor indexed="64"/>
          <bgColor rgb="FFFFFF00"/>
        </patternFill>
      </fill>
      <alignment horizontal="center" vertical="top" textRotation="0" wrapText="0" indent="0" justifyLastLine="0" shrinkToFit="0" readingOrder="0"/>
    </dxf>
    <dxf>
      <numFmt numFmtId="2" formatCode="0.00"/>
      <alignment horizontal="center" vertical="bottom" textRotation="0" wrapText="0" indent="0" justifyLastLine="0" shrinkToFit="0" readingOrder="0"/>
    </dxf>
    <dxf>
      <numFmt numFmtId="2" formatCode="0.00"/>
      <fill>
        <patternFill patternType="none">
          <fgColor indexed="64"/>
          <bgColor indexed="65"/>
        </patternFill>
      </fill>
      <alignment horizontal="center" vertical="bottom" textRotation="0" wrapText="0" indent="0" justifyLastLine="0" shrinkToFit="0" readingOrder="0"/>
    </dxf>
    <dxf>
      <numFmt numFmtId="165" formatCode="h:mm;@"/>
      <fill>
        <patternFill patternType="none">
          <fgColor indexed="64"/>
          <bgColor auto="1"/>
        </patternFill>
      </fill>
      <alignment horizontal="center" textRotation="0" wrapText="0" indent="0" justifyLastLine="0" shrinkToFit="0" readingOrder="0"/>
    </dxf>
    <dxf>
      <numFmt numFmtId="166" formatCode="[$-409]h:mm\ AM/PM;@"/>
      <alignment horizontal="center" textRotation="0" wrapText="0" indent="0" justifyLastLine="0" shrinkToFit="0" readingOrder="0"/>
    </dxf>
    <dxf>
      <numFmt numFmtId="166" formatCode="[$-409]h:mm\ AM/PM;@"/>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409]h:mm\ AM/PM;@"/>
      <alignment horizontal="center" vertical="top"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25" formatCode="hh:mm"/>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5" formatCode="hh:mm"/>
      <alignment horizontal="center" vertical="top"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Time an Employee Has Left After Spending Their Day During Weekdays On: Travelling and Work</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Percentage of Time Spent Travelling to Work Everyday</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F89-4B64-82AF-78BD528FB1C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F89-4B64-82AF-78BD528FB1C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F89-4B64-82AF-78BD528FB1CD}"/>
              </c:ext>
            </c:extLst>
          </c:dPt>
          <c:dLbls>
            <c:numFmt formatCode="General" sourceLinked="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3"/>
              <c:pt idx="0">
                <c:v>Average Time Working</c:v>
              </c:pt>
              <c:pt idx="1">
                <c:v>Average Time Travelling</c:v>
              </c:pt>
              <c:pt idx="2">
                <c:v>The rest of the day</c:v>
              </c:pt>
            </c:strLit>
          </c:cat>
          <c:val>
            <c:numRef>
              <c:f>('[1]Week - 5'!$T$43,'[1]Week - 5'!$Y$43,'[1]Week - 5'!$AF$43)</c:f>
              <c:numCache>
                <c:formatCode>General</c:formatCode>
                <c:ptCount val="3"/>
                <c:pt idx="0">
                  <c:v>9.5062499999999996</c:v>
                </c:pt>
                <c:pt idx="1">
                  <c:v>2.6391666666666667</c:v>
                </c:pt>
                <c:pt idx="2">
                  <c:v>11.854583333333334</c:v>
                </c:pt>
              </c:numCache>
            </c:numRef>
          </c:val>
          <c:extLst>
            <c:ext xmlns:c16="http://schemas.microsoft.com/office/drawing/2014/chart" uri="{C3380CC4-5D6E-409C-BE32-E72D297353CC}">
              <c16:uniqueId val="{00000006-AF89-4B64-82AF-78BD528FB1C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Respondents by Gender</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F739-4588-A456-3E86EA5F0401}"/>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F739-4588-A456-3E86EA5F0401}"/>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F739-4588-A456-3E86EA5F04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'Raw Data fr. SP201'!$B$38:$B$40</c:f>
              <c:strCache>
                <c:ptCount val="3"/>
                <c:pt idx="0">
                  <c:v>Male</c:v>
                </c:pt>
                <c:pt idx="1">
                  <c:v>Female</c:v>
                </c:pt>
                <c:pt idx="2">
                  <c:v>Prefer Not to Say</c:v>
                </c:pt>
              </c:strCache>
            </c:strRef>
          </c:cat>
          <c:val>
            <c:numRef>
              <c:f>'Raw Data fr. SP201'!$C$38:$C$40</c:f>
              <c:numCache>
                <c:formatCode>General</c:formatCode>
                <c:ptCount val="3"/>
                <c:pt idx="0">
                  <c:v>21</c:v>
                </c:pt>
                <c:pt idx="1">
                  <c:v>12</c:v>
                </c:pt>
                <c:pt idx="2">
                  <c:v>2</c:v>
                </c:pt>
              </c:numCache>
            </c:numRef>
          </c:val>
          <c:extLst>
            <c:ext xmlns:c16="http://schemas.microsoft.com/office/drawing/2014/chart" uri="{C3380CC4-5D6E-409C-BE32-E72D297353CC}">
              <c16:uniqueId val="{00000006-F739-4588-A456-3E86EA5F0401}"/>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Do</a:t>
            </a:r>
            <a:r>
              <a:rPr lang="en-US" baseline="0"/>
              <a:t> they </a:t>
            </a:r>
            <a:r>
              <a:rPr lang="en-US"/>
              <a:t>live within the city they work at?</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'Raw Data fr. SP201'!$E$45:$E$46</c:f>
              <c:strCache>
                <c:ptCount val="2"/>
                <c:pt idx="0">
                  <c:v>Yes</c:v>
                </c:pt>
                <c:pt idx="1">
                  <c:v>No</c:v>
                </c:pt>
              </c:strCache>
            </c:strRef>
          </c:cat>
          <c:val>
            <c:numRef>
              <c:f>'Raw Data fr. SP201'!$F$45:$F$46</c:f>
              <c:numCache>
                <c:formatCode>General</c:formatCode>
                <c:ptCount val="2"/>
                <c:pt idx="0">
                  <c:v>5</c:v>
                </c:pt>
                <c:pt idx="1">
                  <c:v>30</c:v>
                </c:pt>
              </c:numCache>
            </c:numRef>
          </c:val>
          <c:extLst>
            <c:ext xmlns:c16="http://schemas.microsoft.com/office/drawing/2014/chart" uri="{C3380CC4-5D6E-409C-BE32-E72D297353CC}">
              <c16:uniqueId val="{00000000-4741-40B9-BF87-F01E8034BF26}"/>
            </c:ext>
          </c:extLst>
        </c:ser>
        <c:dLbls>
          <c:showLegendKey val="0"/>
          <c:showVal val="0"/>
          <c:showCatName val="0"/>
          <c:showSerName val="0"/>
          <c:showPercent val="0"/>
          <c:showBubbleSize val="0"/>
        </c:dLbls>
        <c:gapWidth val="164"/>
        <c:overlap val="-22"/>
        <c:axId val="153901968"/>
        <c:axId val="81079664"/>
      </c:barChart>
      <c:catAx>
        <c:axId val="153901968"/>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79664"/>
        <c:crosses val="autoZero"/>
        <c:auto val="1"/>
        <c:lblAlgn val="ctr"/>
        <c:lblOffset val="100"/>
        <c:noMultiLvlLbl val="0"/>
      </c:catAx>
      <c:valAx>
        <c:axId val="8107966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01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Count of how much time one needs on travelling (1-way)</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0"/>
          <c:order val="0"/>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'Raw Data fr. SP201'!$G$39:$G$43</c:f>
              <c:strCache>
                <c:ptCount val="5"/>
                <c:pt idx="0">
                  <c:v>Less than 30 minutes</c:v>
                </c:pt>
                <c:pt idx="1">
                  <c:v>30-45 minutes</c:v>
                </c:pt>
                <c:pt idx="2">
                  <c:v>45-60 minutes</c:v>
                </c:pt>
                <c:pt idx="3">
                  <c:v>1-1.5 hrs</c:v>
                </c:pt>
                <c:pt idx="4">
                  <c:v>More than 1.5 hrs</c:v>
                </c:pt>
              </c:strCache>
            </c:strRef>
          </c:cat>
          <c:val>
            <c:numRef>
              <c:f>'Raw Data fr. SP201'!$H$39:$H$43</c:f>
              <c:numCache>
                <c:formatCode>General</c:formatCode>
                <c:ptCount val="5"/>
                <c:pt idx="0">
                  <c:v>5</c:v>
                </c:pt>
                <c:pt idx="1">
                  <c:v>6</c:v>
                </c:pt>
                <c:pt idx="2">
                  <c:v>6</c:v>
                </c:pt>
                <c:pt idx="3">
                  <c:v>7</c:v>
                </c:pt>
                <c:pt idx="4">
                  <c:v>11</c:v>
                </c:pt>
              </c:numCache>
            </c:numRef>
          </c:val>
          <c:extLst>
            <c:ext xmlns:c16="http://schemas.microsoft.com/office/drawing/2014/chart" uri="{C3380CC4-5D6E-409C-BE32-E72D297353CC}">
              <c16:uniqueId val="{00000000-A7AC-407C-8F75-7704E00F7510}"/>
            </c:ext>
          </c:extLst>
        </c:ser>
        <c:dLbls>
          <c:showLegendKey val="0"/>
          <c:showVal val="0"/>
          <c:showCatName val="0"/>
          <c:showSerName val="0"/>
          <c:showPercent val="0"/>
          <c:showBubbleSize val="0"/>
        </c:dLbls>
        <c:gapWidth val="150"/>
        <c:axId val="283046240"/>
        <c:axId val="73885776"/>
      </c:barChart>
      <c:catAx>
        <c:axId val="283046240"/>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85776"/>
        <c:crosses val="autoZero"/>
        <c:auto val="1"/>
        <c:lblAlgn val="ctr"/>
        <c:lblOffset val="100"/>
        <c:noMultiLvlLbl val="0"/>
      </c:catAx>
      <c:valAx>
        <c:axId val="73885776"/>
        <c:scaling>
          <c:orientation val="minMax"/>
        </c:scaling>
        <c:delete val="0"/>
        <c:axPos val="b"/>
        <c:majorGridlines>
          <c:spPr>
            <a:ln>
              <a:solidFill>
                <a:schemeClr val="tx1">
                  <a:lumMod val="15000"/>
                  <a:lumOff val="85000"/>
                </a:schemeClr>
              </a:solidFill>
            </a:ln>
            <a:effectLst/>
          </c:spPr>
        </c:majorGridlines>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04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Respondents</a:t>
            </a:r>
            <a:r>
              <a:rPr lang="en-US" baseline="0"/>
              <a:t> by Age Bracket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1862-408E-986D-750403473747}"/>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1862-408E-986D-750403473747}"/>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1862-408E-986D-7504034737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'Raw Data fr. SP201'!$B$44:$B$46</c:f>
              <c:strCache>
                <c:ptCount val="3"/>
                <c:pt idx="0">
                  <c:v>21-25</c:v>
                </c:pt>
                <c:pt idx="1">
                  <c:v>26-30</c:v>
                </c:pt>
                <c:pt idx="2">
                  <c:v>31-35</c:v>
                </c:pt>
              </c:strCache>
            </c:strRef>
          </c:cat>
          <c:val>
            <c:numRef>
              <c:f>'Raw Data fr. SP201'!$C$44:$C$46</c:f>
              <c:numCache>
                <c:formatCode>General</c:formatCode>
                <c:ptCount val="3"/>
                <c:pt idx="0">
                  <c:v>29</c:v>
                </c:pt>
                <c:pt idx="1">
                  <c:v>5</c:v>
                </c:pt>
                <c:pt idx="2">
                  <c:v>1</c:v>
                </c:pt>
              </c:numCache>
            </c:numRef>
          </c:val>
          <c:extLst>
            <c:ext xmlns:c16="http://schemas.microsoft.com/office/drawing/2014/chart" uri="{C3380CC4-5D6E-409C-BE32-E72D297353CC}">
              <c16:uniqueId val="{00000006-1862-408E-986D-750403473747}"/>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Count</a:t>
            </a:r>
            <a:r>
              <a:rPr lang="en-US" baseline="0"/>
              <a:t> of h</a:t>
            </a:r>
            <a:r>
              <a:rPr lang="en-US"/>
              <a:t>ow much one</a:t>
            </a:r>
            <a:r>
              <a:rPr lang="en-US" baseline="0"/>
              <a:t> spends</a:t>
            </a:r>
            <a:r>
              <a:rPr lang="en-US"/>
              <a:t> on travelling (1-way)</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'Raw Data fr. SP201'!$I$39:$I$43</c:f>
              <c:strCache>
                <c:ptCount val="5"/>
                <c:pt idx="0">
                  <c:v>Less than P20</c:v>
                </c:pt>
                <c:pt idx="1">
                  <c:v>P20 to P50</c:v>
                </c:pt>
                <c:pt idx="2">
                  <c:v>P50 to P100</c:v>
                </c:pt>
                <c:pt idx="3">
                  <c:v>P100 to P150</c:v>
                </c:pt>
                <c:pt idx="4">
                  <c:v>More than P150</c:v>
                </c:pt>
              </c:strCache>
            </c:strRef>
          </c:cat>
          <c:val>
            <c:numRef>
              <c:f>'Raw Data fr. SP201'!$J$39:$J$43</c:f>
              <c:numCache>
                <c:formatCode>General</c:formatCode>
                <c:ptCount val="5"/>
                <c:pt idx="0">
                  <c:v>12</c:v>
                </c:pt>
                <c:pt idx="1">
                  <c:v>8</c:v>
                </c:pt>
                <c:pt idx="2">
                  <c:v>12</c:v>
                </c:pt>
                <c:pt idx="3">
                  <c:v>1</c:v>
                </c:pt>
                <c:pt idx="4">
                  <c:v>2</c:v>
                </c:pt>
              </c:numCache>
            </c:numRef>
          </c:val>
          <c:extLst>
            <c:ext xmlns:c16="http://schemas.microsoft.com/office/drawing/2014/chart" uri="{C3380CC4-5D6E-409C-BE32-E72D297353CC}">
              <c16:uniqueId val="{00000000-3CE1-4BE4-AA57-E0997028C23D}"/>
            </c:ext>
          </c:extLst>
        </c:ser>
        <c:dLbls>
          <c:showLegendKey val="0"/>
          <c:showVal val="0"/>
          <c:showCatName val="0"/>
          <c:showSerName val="0"/>
          <c:showPercent val="0"/>
          <c:showBubbleSize val="0"/>
        </c:dLbls>
        <c:gapWidth val="267"/>
        <c:overlap val="-43"/>
        <c:axId val="2033740624"/>
        <c:axId val="151811680"/>
      </c:barChart>
      <c:catAx>
        <c:axId val="203374062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51811680"/>
        <c:crosses val="autoZero"/>
        <c:auto val="1"/>
        <c:lblAlgn val="ctr"/>
        <c:lblOffset val="100"/>
        <c:noMultiLvlLbl val="0"/>
      </c:catAx>
      <c:valAx>
        <c:axId val="151811680"/>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33740624"/>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Respondents by Gender</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ECAD-4090-9B2A-011BFDD04226}"/>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ECAD-4090-9B2A-011BFDD04226}"/>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ECAD-4090-9B2A-011BFDD0422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'Raw Data fr. SP201'!$B$38:$B$40</c:f>
              <c:strCache>
                <c:ptCount val="3"/>
                <c:pt idx="0">
                  <c:v>Male</c:v>
                </c:pt>
                <c:pt idx="1">
                  <c:v>Female</c:v>
                </c:pt>
                <c:pt idx="2">
                  <c:v>Prefer Not to Say</c:v>
                </c:pt>
              </c:strCache>
            </c:strRef>
          </c:cat>
          <c:val>
            <c:numRef>
              <c:f>'Raw Data fr. SP201'!$C$38:$C$40</c:f>
              <c:numCache>
                <c:formatCode>General</c:formatCode>
                <c:ptCount val="3"/>
                <c:pt idx="0">
                  <c:v>21</c:v>
                </c:pt>
                <c:pt idx="1">
                  <c:v>12</c:v>
                </c:pt>
                <c:pt idx="2">
                  <c:v>2</c:v>
                </c:pt>
              </c:numCache>
            </c:numRef>
          </c:val>
          <c:extLst>
            <c:ext xmlns:c16="http://schemas.microsoft.com/office/drawing/2014/chart" uri="{C3380CC4-5D6E-409C-BE32-E72D297353CC}">
              <c16:uniqueId val="{00000006-ECAD-4090-9B2A-011BFDD04226}"/>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Respondents</a:t>
            </a:r>
            <a:r>
              <a:rPr lang="en-US" baseline="0"/>
              <a:t> by Age Bracket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BA35-428D-A3BE-BB17222535E7}"/>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BA35-428D-A3BE-BB17222535E7}"/>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BA35-428D-A3BE-BB17222535E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'Raw Data fr. SP201'!$B$44:$B$46</c:f>
              <c:strCache>
                <c:ptCount val="3"/>
                <c:pt idx="0">
                  <c:v>21-25</c:v>
                </c:pt>
                <c:pt idx="1">
                  <c:v>26-30</c:v>
                </c:pt>
                <c:pt idx="2">
                  <c:v>31-35</c:v>
                </c:pt>
              </c:strCache>
            </c:strRef>
          </c:cat>
          <c:val>
            <c:numRef>
              <c:f>'Raw Data fr. SP201'!$C$44:$C$46</c:f>
              <c:numCache>
                <c:formatCode>General</c:formatCode>
                <c:ptCount val="3"/>
                <c:pt idx="0">
                  <c:v>29</c:v>
                </c:pt>
                <c:pt idx="1">
                  <c:v>5</c:v>
                </c:pt>
                <c:pt idx="2">
                  <c:v>1</c:v>
                </c:pt>
              </c:numCache>
            </c:numRef>
          </c:val>
          <c:extLst>
            <c:ext xmlns:c16="http://schemas.microsoft.com/office/drawing/2014/chart" uri="{C3380CC4-5D6E-409C-BE32-E72D297353CC}">
              <c16:uniqueId val="{00000006-BA35-428D-A3BE-BB17222535E7}"/>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Count of how much time one needs on travelling (1-way)</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0"/>
          <c:order val="0"/>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'Raw Data fr. SP201'!$G$39:$G$43</c:f>
              <c:strCache>
                <c:ptCount val="5"/>
                <c:pt idx="0">
                  <c:v>Less than 30 minutes</c:v>
                </c:pt>
                <c:pt idx="1">
                  <c:v>30-45 minutes</c:v>
                </c:pt>
                <c:pt idx="2">
                  <c:v>45-60 minutes</c:v>
                </c:pt>
                <c:pt idx="3">
                  <c:v>1-1.5 hrs</c:v>
                </c:pt>
                <c:pt idx="4">
                  <c:v>More than 1.5 hrs</c:v>
                </c:pt>
              </c:strCache>
            </c:strRef>
          </c:cat>
          <c:val>
            <c:numRef>
              <c:f>'Raw Data fr. SP201'!$H$39:$H$43</c:f>
              <c:numCache>
                <c:formatCode>General</c:formatCode>
                <c:ptCount val="5"/>
                <c:pt idx="0">
                  <c:v>5</c:v>
                </c:pt>
                <c:pt idx="1">
                  <c:v>6</c:v>
                </c:pt>
                <c:pt idx="2">
                  <c:v>6</c:v>
                </c:pt>
                <c:pt idx="3">
                  <c:v>7</c:v>
                </c:pt>
                <c:pt idx="4">
                  <c:v>11</c:v>
                </c:pt>
              </c:numCache>
            </c:numRef>
          </c:val>
          <c:extLst>
            <c:ext xmlns:c16="http://schemas.microsoft.com/office/drawing/2014/chart" uri="{C3380CC4-5D6E-409C-BE32-E72D297353CC}">
              <c16:uniqueId val="{00000000-3E79-441F-A52F-DBFAE7215C0F}"/>
            </c:ext>
          </c:extLst>
        </c:ser>
        <c:dLbls>
          <c:showLegendKey val="0"/>
          <c:showVal val="0"/>
          <c:showCatName val="0"/>
          <c:showSerName val="0"/>
          <c:showPercent val="0"/>
          <c:showBubbleSize val="0"/>
        </c:dLbls>
        <c:gapWidth val="150"/>
        <c:axId val="283046240"/>
        <c:axId val="73885776"/>
      </c:barChart>
      <c:catAx>
        <c:axId val="283046240"/>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85776"/>
        <c:crosses val="autoZero"/>
        <c:auto val="1"/>
        <c:lblAlgn val="ctr"/>
        <c:lblOffset val="100"/>
        <c:noMultiLvlLbl val="0"/>
      </c:catAx>
      <c:valAx>
        <c:axId val="73885776"/>
        <c:scaling>
          <c:orientation val="minMax"/>
        </c:scaling>
        <c:delete val="0"/>
        <c:axPos val="b"/>
        <c:majorGridlines>
          <c:spPr>
            <a:ln>
              <a:solidFill>
                <a:schemeClr val="tx1">
                  <a:lumMod val="15000"/>
                  <a:lumOff val="85000"/>
                </a:schemeClr>
              </a:solidFill>
            </a:ln>
            <a:effectLst/>
          </c:spPr>
        </c:majorGridlines>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04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Count</a:t>
            </a:r>
            <a:r>
              <a:rPr lang="en-US" baseline="0"/>
              <a:t> of h</a:t>
            </a:r>
            <a:r>
              <a:rPr lang="en-US"/>
              <a:t>ow much one</a:t>
            </a:r>
            <a:r>
              <a:rPr lang="en-US" baseline="0"/>
              <a:t> spends</a:t>
            </a:r>
            <a:r>
              <a:rPr lang="en-US"/>
              <a:t> on travelling (1-way)</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'Raw Data fr. SP201'!$I$39:$I$43</c:f>
              <c:strCache>
                <c:ptCount val="5"/>
                <c:pt idx="0">
                  <c:v>Less than P20</c:v>
                </c:pt>
                <c:pt idx="1">
                  <c:v>P20 to P50</c:v>
                </c:pt>
                <c:pt idx="2">
                  <c:v>P50 to P100</c:v>
                </c:pt>
                <c:pt idx="3">
                  <c:v>P100 to P150</c:v>
                </c:pt>
                <c:pt idx="4">
                  <c:v>More than P150</c:v>
                </c:pt>
              </c:strCache>
            </c:strRef>
          </c:cat>
          <c:val>
            <c:numRef>
              <c:f>'Raw Data fr. SP201'!$J$39:$J$43</c:f>
              <c:numCache>
                <c:formatCode>General</c:formatCode>
                <c:ptCount val="5"/>
                <c:pt idx="0">
                  <c:v>12</c:v>
                </c:pt>
                <c:pt idx="1">
                  <c:v>8</c:v>
                </c:pt>
                <c:pt idx="2">
                  <c:v>12</c:v>
                </c:pt>
                <c:pt idx="3">
                  <c:v>1</c:v>
                </c:pt>
                <c:pt idx="4">
                  <c:v>2</c:v>
                </c:pt>
              </c:numCache>
            </c:numRef>
          </c:val>
          <c:extLst>
            <c:ext xmlns:c16="http://schemas.microsoft.com/office/drawing/2014/chart" uri="{C3380CC4-5D6E-409C-BE32-E72D297353CC}">
              <c16:uniqueId val="{00000000-E4B5-4FAA-B4E5-8C2A97E5161E}"/>
            </c:ext>
          </c:extLst>
        </c:ser>
        <c:dLbls>
          <c:showLegendKey val="0"/>
          <c:showVal val="0"/>
          <c:showCatName val="0"/>
          <c:showSerName val="0"/>
          <c:showPercent val="0"/>
          <c:showBubbleSize val="0"/>
        </c:dLbls>
        <c:gapWidth val="267"/>
        <c:overlap val="-43"/>
        <c:axId val="2033740624"/>
        <c:axId val="151811680"/>
      </c:barChart>
      <c:catAx>
        <c:axId val="203374062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51811680"/>
        <c:crosses val="autoZero"/>
        <c:auto val="1"/>
        <c:lblAlgn val="ctr"/>
        <c:lblOffset val="100"/>
        <c:noMultiLvlLbl val="0"/>
      </c:catAx>
      <c:valAx>
        <c:axId val="151811680"/>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33740624"/>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Do</a:t>
            </a:r>
            <a:r>
              <a:rPr lang="en-US" baseline="0"/>
              <a:t> they </a:t>
            </a:r>
            <a:r>
              <a:rPr lang="en-US"/>
              <a:t>live within the city they work at?</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'Raw Data fr. SP201'!$E$45:$E$46</c:f>
              <c:strCache>
                <c:ptCount val="2"/>
                <c:pt idx="0">
                  <c:v>Yes</c:v>
                </c:pt>
                <c:pt idx="1">
                  <c:v>No</c:v>
                </c:pt>
              </c:strCache>
            </c:strRef>
          </c:cat>
          <c:val>
            <c:numRef>
              <c:f>'Raw Data fr. SP201'!$F$45:$F$46</c:f>
              <c:numCache>
                <c:formatCode>General</c:formatCode>
                <c:ptCount val="2"/>
                <c:pt idx="0">
                  <c:v>5</c:v>
                </c:pt>
                <c:pt idx="1">
                  <c:v>30</c:v>
                </c:pt>
              </c:numCache>
            </c:numRef>
          </c:val>
          <c:extLst>
            <c:ext xmlns:c16="http://schemas.microsoft.com/office/drawing/2014/chart" uri="{C3380CC4-5D6E-409C-BE32-E72D297353CC}">
              <c16:uniqueId val="{00000000-0848-4B5E-8BC4-8DC8A315390A}"/>
            </c:ext>
          </c:extLst>
        </c:ser>
        <c:dLbls>
          <c:showLegendKey val="0"/>
          <c:showVal val="0"/>
          <c:showCatName val="0"/>
          <c:showSerName val="0"/>
          <c:showPercent val="0"/>
          <c:showBubbleSize val="0"/>
        </c:dLbls>
        <c:gapWidth val="164"/>
        <c:overlap val="-22"/>
        <c:axId val="153901968"/>
        <c:axId val="81079664"/>
      </c:barChart>
      <c:catAx>
        <c:axId val="153901968"/>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79664"/>
        <c:crosses val="autoZero"/>
        <c:auto val="1"/>
        <c:lblAlgn val="ctr"/>
        <c:lblOffset val="100"/>
        <c:noMultiLvlLbl val="0"/>
      </c:catAx>
      <c:valAx>
        <c:axId val="8107966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01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Age</a:t>
            </a:r>
            <a:r>
              <a:rPr lang="en-US" baseline="0"/>
              <a:t> of Respondents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'Raw Data fr. SP201'!$B$44</c:f>
              <c:strCache>
                <c:ptCount val="1"/>
                <c:pt idx="0">
                  <c:v>21-25</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CC75-477D-8EF0-A960292BC7C2}"/>
              </c:ext>
            </c:extLst>
          </c:dPt>
          <c:dPt>
            <c:idx val="1"/>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3-CC75-477D-8EF0-A960292BC7C2}"/>
              </c:ext>
            </c:extLst>
          </c:dPt>
          <c:dPt>
            <c:idx val="2"/>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5-CC75-477D-8EF0-A960292BC7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'Raw Data fr. SP201'!$C$44</c:f>
              <c:numCache>
                <c:formatCode>General</c:formatCode>
                <c:ptCount val="1"/>
                <c:pt idx="0">
                  <c:v>29</c:v>
                </c:pt>
              </c:numCache>
            </c:numRef>
          </c:val>
          <c:extLst>
            <c:ext xmlns:c16="http://schemas.microsoft.com/office/drawing/2014/chart" uri="{C3380CC4-5D6E-409C-BE32-E72D297353CC}">
              <c16:uniqueId val="{00000006-CC75-477D-8EF0-A960292BC7C2}"/>
            </c:ext>
          </c:extLst>
        </c:ser>
        <c:ser>
          <c:idx val="1"/>
          <c:order val="1"/>
          <c:tx>
            <c:strRef>
              <c:f>'Raw Data fr. SP201'!$B$45</c:f>
              <c:strCache>
                <c:ptCount val="1"/>
                <c:pt idx="0">
                  <c:v>26-30</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'Raw Data fr. SP201'!$C$45</c:f>
              <c:numCache>
                <c:formatCode>General</c:formatCode>
                <c:ptCount val="1"/>
                <c:pt idx="0">
                  <c:v>5</c:v>
                </c:pt>
              </c:numCache>
            </c:numRef>
          </c:val>
          <c:extLst>
            <c:ext xmlns:c16="http://schemas.microsoft.com/office/drawing/2014/chart" uri="{C3380CC4-5D6E-409C-BE32-E72D297353CC}">
              <c16:uniqueId val="{00000008-CC75-477D-8EF0-A960292BC7C2}"/>
            </c:ext>
          </c:extLst>
        </c:ser>
        <c:ser>
          <c:idx val="2"/>
          <c:order val="2"/>
          <c:tx>
            <c:strRef>
              <c:f>'Raw Data fr. SP201'!$B$46</c:f>
              <c:strCache>
                <c:ptCount val="1"/>
                <c:pt idx="0">
                  <c:v>31-35</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'Raw Data fr. SP201'!$C$46</c:f>
              <c:numCache>
                <c:formatCode>General</c:formatCode>
                <c:ptCount val="1"/>
                <c:pt idx="0">
                  <c:v>1</c:v>
                </c:pt>
              </c:numCache>
            </c:numRef>
          </c:val>
          <c:extLst>
            <c:ext xmlns:c16="http://schemas.microsoft.com/office/drawing/2014/chart" uri="{C3380CC4-5D6E-409C-BE32-E72D297353CC}">
              <c16:uniqueId val="{00000009-CC75-477D-8EF0-A960292BC7C2}"/>
            </c:ext>
          </c:extLst>
        </c:ser>
        <c:dLbls>
          <c:showLegendKey val="0"/>
          <c:showVal val="0"/>
          <c:showCatName val="0"/>
          <c:showSerName val="0"/>
          <c:showPercent val="0"/>
          <c:showBubbleSize val="0"/>
        </c:dLbls>
        <c:gapWidth val="75"/>
        <c:overlap val="40"/>
        <c:axId val="1938791439"/>
        <c:axId val="1938799343"/>
      </c:barChart>
      <c:catAx>
        <c:axId val="1938791439"/>
        <c:scaling>
          <c:orientation val="minMax"/>
        </c:scaling>
        <c:delete val="1"/>
        <c:axPos val="b"/>
        <c:majorTickMark val="none"/>
        <c:minorTickMark val="none"/>
        <c:tickLblPos val="nextTo"/>
        <c:crossAx val="1938799343"/>
        <c:crosses val="autoZero"/>
        <c:auto val="0"/>
        <c:lblAlgn val="ctr"/>
        <c:lblOffset val="100"/>
        <c:noMultiLvlLbl val="0"/>
      </c:catAx>
      <c:valAx>
        <c:axId val="193879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3879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Respondents by Gender</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7383-42A0-BF90-9BE1093576F1}"/>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7383-42A0-BF90-9BE1093576F1}"/>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7383-42A0-BF90-9BE1093576F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'Raw Data fr. SP201'!$B$38:$B$40</c:f>
              <c:strCache>
                <c:ptCount val="3"/>
                <c:pt idx="0">
                  <c:v>Male</c:v>
                </c:pt>
                <c:pt idx="1">
                  <c:v>Female</c:v>
                </c:pt>
                <c:pt idx="2">
                  <c:v>Prefer Not to Say</c:v>
                </c:pt>
              </c:strCache>
            </c:strRef>
          </c:cat>
          <c:val>
            <c:numRef>
              <c:f>'Raw Data fr. SP201'!$C$38:$C$40</c:f>
              <c:numCache>
                <c:formatCode>General</c:formatCode>
                <c:ptCount val="3"/>
                <c:pt idx="0">
                  <c:v>21</c:v>
                </c:pt>
                <c:pt idx="1">
                  <c:v>12</c:v>
                </c:pt>
                <c:pt idx="2">
                  <c:v>2</c:v>
                </c:pt>
              </c:numCache>
            </c:numRef>
          </c:val>
          <c:extLst>
            <c:ext xmlns:c16="http://schemas.microsoft.com/office/drawing/2014/chart" uri="{C3380CC4-5D6E-409C-BE32-E72D297353CC}">
              <c16:uniqueId val="{00000006-7383-42A0-BF90-9BE1093576F1}"/>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Respondents</a:t>
            </a:r>
            <a:r>
              <a:rPr lang="en-US" baseline="0"/>
              <a:t> by Age Bracket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A3D0-417B-B23C-37A6860DFCBB}"/>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A3D0-417B-B23C-37A6860DFCBB}"/>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A3D0-417B-B23C-37A6860DFC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'Raw Data fr. SP201'!$B$44:$B$46</c:f>
              <c:strCache>
                <c:ptCount val="3"/>
                <c:pt idx="0">
                  <c:v>21-25</c:v>
                </c:pt>
                <c:pt idx="1">
                  <c:v>26-30</c:v>
                </c:pt>
                <c:pt idx="2">
                  <c:v>31-35</c:v>
                </c:pt>
              </c:strCache>
            </c:strRef>
          </c:cat>
          <c:val>
            <c:numRef>
              <c:f>'Raw Data fr. SP201'!$C$44:$C$46</c:f>
              <c:numCache>
                <c:formatCode>General</c:formatCode>
                <c:ptCount val="3"/>
                <c:pt idx="0">
                  <c:v>29</c:v>
                </c:pt>
                <c:pt idx="1">
                  <c:v>5</c:v>
                </c:pt>
                <c:pt idx="2">
                  <c:v>1</c:v>
                </c:pt>
              </c:numCache>
            </c:numRef>
          </c:val>
          <c:extLst>
            <c:ext xmlns:c16="http://schemas.microsoft.com/office/drawing/2014/chart" uri="{C3380CC4-5D6E-409C-BE32-E72D297353CC}">
              <c16:uniqueId val="{00000006-A3D0-417B-B23C-37A6860DFCBB}"/>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Count of how much time one needs on travelling (1-way)</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0"/>
          <c:order val="0"/>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'Raw Data fr. SP201'!$G$39:$G$43</c:f>
              <c:strCache>
                <c:ptCount val="5"/>
                <c:pt idx="0">
                  <c:v>Less than 30 minutes</c:v>
                </c:pt>
                <c:pt idx="1">
                  <c:v>30-45 minutes</c:v>
                </c:pt>
                <c:pt idx="2">
                  <c:v>45-60 minutes</c:v>
                </c:pt>
                <c:pt idx="3">
                  <c:v>1-1.5 hrs</c:v>
                </c:pt>
                <c:pt idx="4">
                  <c:v>More than 1.5 hrs</c:v>
                </c:pt>
              </c:strCache>
            </c:strRef>
          </c:cat>
          <c:val>
            <c:numRef>
              <c:f>'Raw Data fr. SP201'!$H$39:$H$43</c:f>
              <c:numCache>
                <c:formatCode>General</c:formatCode>
                <c:ptCount val="5"/>
                <c:pt idx="0">
                  <c:v>5</c:v>
                </c:pt>
                <c:pt idx="1">
                  <c:v>6</c:v>
                </c:pt>
                <c:pt idx="2">
                  <c:v>6</c:v>
                </c:pt>
                <c:pt idx="3">
                  <c:v>7</c:v>
                </c:pt>
                <c:pt idx="4">
                  <c:v>11</c:v>
                </c:pt>
              </c:numCache>
            </c:numRef>
          </c:val>
          <c:extLst>
            <c:ext xmlns:c16="http://schemas.microsoft.com/office/drawing/2014/chart" uri="{C3380CC4-5D6E-409C-BE32-E72D297353CC}">
              <c16:uniqueId val="{00000000-30D7-4C09-8C86-B883581F41E3}"/>
            </c:ext>
          </c:extLst>
        </c:ser>
        <c:dLbls>
          <c:showLegendKey val="0"/>
          <c:showVal val="0"/>
          <c:showCatName val="0"/>
          <c:showSerName val="0"/>
          <c:showPercent val="0"/>
          <c:showBubbleSize val="0"/>
        </c:dLbls>
        <c:gapWidth val="150"/>
        <c:axId val="283046240"/>
        <c:axId val="73885776"/>
      </c:barChart>
      <c:catAx>
        <c:axId val="283046240"/>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85776"/>
        <c:crosses val="autoZero"/>
        <c:auto val="1"/>
        <c:lblAlgn val="ctr"/>
        <c:lblOffset val="100"/>
        <c:noMultiLvlLbl val="0"/>
      </c:catAx>
      <c:valAx>
        <c:axId val="73885776"/>
        <c:scaling>
          <c:orientation val="minMax"/>
        </c:scaling>
        <c:delete val="0"/>
        <c:axPos val="b"/>
        <c:majorGridlines>
          <c:spPr>
            <a:ln>
              <a:solidFill>
                <a:schemeClr val="tx1">
                  <a:lumMod val="15000"/>
                  <a:lumOff val="85000"/>
                </a:schemeClr>
              </a:solidFill>
            </a:ln>
            <a:effectLst/>
          </c:spPr>
        </c:majorGridlines>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04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Count</a:t>
            </a:r>
            <a:r>
              <a:rPr lang="en-US" baseline="0"/>
              <a:t> of h</a:t>
            </a:r>
            <a:r>
              <a:rPr lang="en-US"/>
              <a:t>ow much one</a:t>
            </a:r>
            <a:r>
              <a:rPr lang="en-US" baseline="0"/>
              <a:t> spends</a:t>
            </a:r>
            <a:r>
              <a:rPr lang="en-US"/>
              <a:t> on travelling (1-way)</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'Raw Data fr. SP201'!$I$39:$I$43</c:f>
              <c:strCache>
                <c:ptCount val="5"/>
                <c:pt idx="0">
                  <c:v>Less than P20</c:v>
                </c:pt>
                <c:pt idx="1">
                  <c:v>P20 to P50</c:v>
                </c:pt>
                <c:pt idx="2">
                  <c:v>P50 to P100</c:v>
                </c:pt>
                <c:pt idx="3">
                  <c:v>P100 to P150</c:v>
                </c:pt>
                <c:pt idx="4">
                  <c:v>More than P150</c:v>
                </c:pt>
              </c:strCache>
            </c:strRef>
          </c:cat>
          <c:val>
            <c:numRef>
              <c:f>'Raw Data fr. SP201'!$J$39:$J$43</c:f>
              <c:numCache>
                <c:formatCode>General</c:formatCode>
                <c:ptCount val="5"/>
                <c:pt idx="0">
                  <c:v>12</c:v>
                </c:pt>
                <c:pt idx="1">
                  <c:v>8</c:v>
                </c:pt>
                <c:pt idx="2">
                  <c:v>12</c:v>
                </c:pt>
                <c:pt idx="3">
                  <c:v>1</c:v>
                </c:pt>
                <c:pt idx="4">
                  <c:v>2</c:v>
                </c:pt>
              </c:numCache>
            </c:numRef>
          </c:val>
          <c:extLst>
            <c:ext xmlns:c16="http://schemas.microsoft.com/office/drawing/2014/chart" uri="{C3380CC4-5D6E-409C-BE32-E72D297353CC}">
              <c16:uniqueId val="{00000000-847C-4400-9331-E411F9607281}"/>
            </c:ext>
          </c:extLst>
        </c:ser>
        <c:dLbls>
          <c:dLblPos val="outEnd"/>
          <c:showLegendKey val="0"/>
          <c:showVal val="1"/>
          <c:showCatName val="0"/>
          <c:showSerName val="0"/>
          <c:showPercent val="0"/>
          <c:showBubbleSize val="0"/>
        </c:dLbls>
        <c:gapWidth val="267"/>
        <c:overlap val="-43"/>
        <c:axId val="2033740624"/>
        <c:axId val="151811680"/>
      </c:barChart>
      <c:catAx>
        <c:axId val="203374062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51811680"/>
        <c:crosses val="autoZero"/>
        <c:auto val="1"/>
        <c:lblAlgn val="ctr"/>
        <c:lblOffset val="100"/>
        <c:noMultiLvlLbl val="0"/>
      </c:catAx>
      <c:valAx>
        <c:axId val="151811680"/>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33740624"/>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Do</a:t>
            </a:r>
            <a:r>
              <a:rPr lang="en-US" baseline="0"/>
              <a:t> they </a:t>
            </a:r>
            <a:r>
              <a:rPr lang="en-US"/>
              <a:t>live within the city they work at?</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'Raw Data fr. SP201'!$E$45:$E$46</c:f>
              <c:strCache>
                <c:ptCount val="2"/>
                <c:pt idx="0">
                  <c:v>Yes</c:v>
                </c:pt>
                <c:pt idx="1">
                  <c:v>No</c:v>
                </c:pt>
              </c:strCache>
            </c:strRef>
          </c:cat>
          <c:val>
            <c:numRef>
              <c:f>'Raw Data fr. SP201'!$F$45:$F$46</c:f>
              <c:numCache>
                <c:formatCode>General</c:formatCode>
                <c:ptCount val="2"/>
                <c:pt idx="0">
                  <c:v>5</c:v>
                </c:pt>
                <c:pt idx="1">
                  <c:v>30</c:v>
                </c:pt>
              </c:numCache>
            </c:numRef>
          </c:val>
          <c:extLst>
            <c:ext xmlns:c16="http://schemas.microsoft.com/office/drawing/2014/chart" uri="{C3380CC4-5D6E-409C-BE32-E72D297353CC}">
              <c16:uniqueId val="{00000000-3BA9-4791-9AAB-08AADA4C3D01}"/>
            </c:ext>
          </c:extLst>
        </c:ser>
        <c:dLbls>
          <c:showLegendKey val="0"/>
          <c:showVal val="0"/>
          <c:showCatName val="0"/>
          <c:showSerName val="0"/>
          <c:showPercent val="0"/>
          <c:showBubbleSize val="0"/>
        </c:dLbls>
        <c:gapWidth val="164"/>
        <c:overlap val="-22"/>
        <c:axId val="153901968"/>
        <c:axId val="81079664"/>
      </c:barChart>
      <c:catAx>
        <c:axId val="153901968"/>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79664"/>
        <c:crosses val="autoZero"/>
        <c:auto val="1"/>
        <c:lblAlgn val="ctr"/>
        <c:lblOffset val="100"/>
        <c:noMultiLvlLbl val="0"/>
      </c:catAx>
      <c:valAx>
        <c:axId val="8107966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01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Age</a:t>
            </a:r>
            <a:r>
              <a:rPr lang="en-US" baseline="0"/>
              <a:t> of Respondents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'Raw Data fr. SP201'!$B$44</c:f>
              <c:strCache>
                <c:ptCount val="1"/>
                <c:pt idx="0">
                  <c:v>21-25</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28BE-465E-A972-B0D7F02964EE}"/>
              </c:ext>
            </c:extLst>
          </c:dPt>
          <c:dPt>
            <c:idx val="1"/>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3-28BE-465E-A972-B0D7F02964EE}"/>
              </c:ext>
            </c:extLst>
          </c:dPt>
          <c:dPt>
            <c:idx val="2"/>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5-28BE-465E-A972-B0D7F02964E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'Raw Data fr. SP201'!$C$44</c:f>
              <c:numCache>
                <c:formatCode>General</c:formatCode>
                <c:ptCount val="1"/>
                <c:pt idx="0">
                  <c:v>29</c:v>
                </c:pt>
              </c:numCache>
            </c:numRef>
          </c:val>
          <c:extLst>
            <c:ext xmlns:c16="http://schemas.microsoft.com/office/drawing/2014/chart" uri="{C3380CC4-5D6E-409C-BE32-E72D297353CC}">
              <c16:uniqueId val="{00000006-28BE-465E-A972-B0D7F02964EE}"/>
            </c:ext>
          </c:extLst>
        </c:ser>
        <c:ser>
          <c:idx val="1"/>
          <c:order val="1"/>
          <c:tx>
            <c:strRef>
              <c:f>'Raw Data fr. SP201'!$B$45</c:f>
              <c:strCache>
                <c:ptCount val="1"/>
                <c:pt idx="0">
                  <c:v>26-30</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'Raw Data fr. SP201'!$C$45</c:f>
              <c:numCache>
                <c:formatCode>General</c:formatCode>
                <c:ptCount val="1"/>
                <c:pt idx="0">
                  <c:v>5</c:v>
                </c:pt>
              </c:numCache>
            </c:numRef>
          </c:val>
          <c:extLst>
            <c:ext xmlns:c16="http://schemas.microsoft.com/office/drawing/2014/chart" uri="{C3380CC4-5D6E-409C-BE32-E72D297353CC}">
              <c16:uniqueId val="{00000007-28BE-465E-A972-B0D7F02964EE}"/>
            </c:ext>
          </c:extLst>
        </c:ser>
        <c:ser>
          <c:idx val="2"/>
          <c:order val="2"/>
          <c:tx>
            <c:strRef>
              <c:f>'Raw Data fr. SP201'!$B$46</c:f>
              <c:strCache>
                <c:ptCount val="1"/>
                <c:pt idx="0">
                  <c:v>31-35</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'Raw Data fr. SP201'!$C$46</c:f>
              <c:numCache>
                <c:formatCode>General</c:formatCode>
                <c:ptCount val="1"/>
                <c:pt idx="0">
                  <c:v>1</c:v>
                </c:pt>
              </c:numCache>
            </c:numRef>
          </c:val>
          <c:extLst>
            <c:ext xmlns:c16="http://schemas.microsoft.com/office/drawing/2014/chart" uri="{C3380CC4-5D6E-409C-BE32-E72D297353CC}">
              <c16:uniqueId val="{00000008-28BE-465E-A972-B0D7F02964EE}"/>
            </c:ext>
          </c:extLst>
        </c:ser>
        <c:dLbls>
          <c:showLegendKey val="0"/>
          <c:showVal val="0"/>
          <c:showCatName val="0"/>
          <c:showSerName val="0"/>
          <c:showPercent val="0"/>
          <c:showBubbleSize val="0"/>
        </c:dLbls>
        <c:gapWidth val="75"/>
        <c:overlap val="40"/>
        <c:axId val="1938791439"/>
        <c:axId val="1938799343"/>
      </c:barChart>
      <c:catAx>
        <c:axId val="1938791439"/>
        <c:scaling>
          <c:orientation val="minMax"/>
        </c:scaling>
        <c:delete val="1"/>
        <c:axPos val="b"/>
        <c:majorTickMark val="none"/>
        <c:minorTickMark val="none"/>
        <c:tickLblPos val="nextTo"/>
        <c:crossAx val="1938799343"/>
        <c:crosses val="autoZero"/>
        <c:auto val="0"/>
        <c:lblAlgn val="ctr"/>
        <c:lblOffset val="100"/>
        <c:noMultiLvlLbl val="0"/>
      </c:catAx>
      <c:valAx>
        <c:axId val="193879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3879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PH"/>
              <a:t>Number of respondent's per workplace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3969-4039-A751-68A845DF1410}"/>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3969-4039-A751-68A845DF1410}"/>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3969-4039-A751-68A845DF1410}"/>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5-5A91-48B8-BA14-301DF470F2B1}"/>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6-5A91-48B8-BA14-301DF470F2B1}"/>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4-5A91-48B8-BA14-301DF470F2B1}"/>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3969-4039-A751-68A845DF1410}"/>
              </c:ext>
            </c:extLst>
          </c:dPt>
          <c:dLbls>
            <c:dLbl>
              <c:idx val="3"/>
              <c:layout>
                <c:manualLayout>
                  <c:x val="-0.16111111111111112"/>
                  <c:y val="9.259259259259258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A91-48B8-BA14-301DF470F2B1}"/>
                </c:ext>
              </c:extLst>
            </c:dLbl>
            <c:dLbl>
              <c:idx val="4"/>
              <c:layout>
                <c:manualLayout>
                  <c:x val="-0.24444444444444444"/>
                  <c:y val="-2.314814814814816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5A91-48B8-BA14-301DF470F2B1}"/>
                </c:ext>
              </c:extLst>
            </c:dLbl>
            <c:dLbl>
              <c:idx val="5"/>
              <c:layout>
                <c:manualLayout>
                  <c:x val="-6.6666666666666721E-2"/>
                  <c:y val="-9.259259259259258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5A91-48B8-BA14-301DF470F2B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'Raw Data fr. SP201'!$I$47:$I$53</c:f>
              <c:strCache>
                <c:ptCount val="7"/>
                <c:pt idx="0">
                  <c:v>Makati</c:v>
                </c:pt>
                <c:pt idx="1">
                  <c:v>Taguig</c:v>
                </c:pt>
                <c:pt idx="2">
                  <c:v>Muntinlupa</c:v>
                </c:pt>
                <c:pt idx="3">
                  <c:v>Mandaluyong</c:v>
                </c:pt>
                <c:pt idx="4">
                  <c:v>Pasay</c:v>
                </c:pt>
                <c:pt idx="5">
                  <c:v>Quezon City</c:v>
                </c:pt>
                <c:pt idx="6">
                  <c:v>Pasig</c:v>
                </c:pt>
              </c:strCache>
            </c:strRef>
          </c:cat>
          <c:val>
            <c:numRef>
              <c:f>'Raw Data fr. SP201'!$J$47:$J$53</c:f>
              <c:numCache>
                <c:formatCode>General</c:formatCode>
                <c:ptCount val="7"/>
                <c:pt idx="0">
                  <c:v>8</c:v>
                </c:pt>
                <c:pt idx="1">
                  <c:v>16</c:v>
                </c:pt>
                <c:pt idx="2">
                  <c:v>6</c:v>
                </c:pt>
                <c:pt idx="3">
                  <c:v>1</c:v>
                </c:pt>
                <c:pt idx="4">
                  <c:v>1</c:v>
                </c:pt>
                <c:pt idx="5">
                  <c:v>2</c:v>
                </c:pt>
                <c:pt idx="6">
                  <c:v>1</c:v>
                </c:pt>
              </c:numCache>
            </c:numRef>
          </c:val>
          <c:extLst>
            <c:ext xmlns:c16="http://schemas.microsoft.com/office/drawing/2014/chart" uri="{C3380CC4-5D6E-409C-BE32-E72D297353CC}">
              <c16:uniqueId val="{00000003-5A91-48B8-BA14-301DF470F2B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Do they live within the city they work at? (TAGUIG)</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2-CC15-43D0-B16C-FE6F0A6B9641}"/>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7429-42F9-B9F6-2458599B61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'Raw Data fr. SP201'!$E$45:$E$46</c:f>
              <c:strCache>
                <c:ptCount val="2"/>
                <c:pt idx="0">
                  <c:v>Yes</c:v>
                </c:pt>
                <c:pt idx="1">
                  <c:v>No</c:v>
                </c:pt>
              </c:strCache>
            </c:strRef>
          </c:cat>
          <c:val>
            <c:numRef>
              <c:f>'Raw Data fr. SP201'!$L$47:$L$48</c:f>
              <c:numCache>
                <c:formatCode>General</c:formatCode>
                <c:ptCount val="2"/>
                <c:pt idx="0">
                  <c:v>2</c:v>
                </c:pt>
                <c:pt idx="1">
                  <c:v>14</c:v>
                </c:pt>
              </c:numCache>
            </c:numRef>
          </c:val>
          <c:extLst>
            <c:ext xmlns:c16="http://schemas.microsoft.com/office/drawing/2014/chart" uri="{C3380CC4-5D6E-409C-BE32-E72D297353CC}">
              <c16:uniqueId val="{00000000-CC15-43D0-B16C-FE6F0A6B964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Count of how much time one needs on travelling (taguig)</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0"/>
          <c:order val="0"/>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'Raw Data fr. SP201'!$P$46:$P$50</c:f>
              <c:strCache>
                <c:ptCount val="5"/>
                <c:pt idx="0">
                  <c:v>Less than 30 minutes</c:v>
                </c:pt>
                <c:pt idx="1">
                  <c:v>30-45 minutes</c:v>
                </c:pt>
                <c:pt idx="2">
                  <c:v>45-60 minutes</c:v>
                </c:pt>
                <c:pt idx="3">
                  <c:v>1-1.5 hrs</c:v>
                </c:pt>
                <c:pt idx="4">
                  <c:v>More than 1.5 hrs</c:v>
                </c:pt>
              </c:strCache>
            </c:strRef>
          </c:cat>
          <c:val>
            <c:numRef>
              <c:f>'Raw Data fr. SP201'!$Q$46:$Q$50</c:f>
              <c:numCache>
                <c:formatCode>General</c:formatCode>
                <c:ptCount val="5"/>
                <c:pt idx="0">
                  <c:v>1</c:v>
                </c:pt>
                <c:pt idx="1">
                  <c:v>3</c:v>
                </c:pt>
                <c:pt idx="2">
                  <c:v>3</c:v>
                </c:pt>
                <c:pt idx="3">
                  <c:v>2</c:v>
                </c:pt>
                <c:pt idx="4">
                  <c:v>7</c:v>
                </c:pt>
              </c:numCache>
            </c:numRef>
          </c:val>
          <c:extLst>
            <c:ext xmlns:c16="http://schemas.microsoft.com/office/drawing/2014/chart" uri="{C3380CC4-5D6E-409C-BE32-E72D297353CC}">
              <c16:uniqueId val="{00000002-6006-4F4A-9750-5AA2C9C8D3AE}"/>
            </c:ext>
          </c:extLst>
        </c:ser>
        <c:dLbls>
          <c:dLblPos val="outEnd"/>
          <c:showLegendKey val="0"/>
          <c:showVal val="1"/>
          <c:showCatName val="0"/>
          <c:showSerName val="0"/>
          <c:showPercent val="0"/>
          <c:showBubbleSize val="0"/>
        </c:dLbls>
        <c:gapWidth val="150"/>
        <c:axId val="283046240"/>
        <c:axId val="73885776"/>
      </c:barChart>
      <c:catAx>
        <c:axId val="283046240"/>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85776"/>
        <c:crosses val="autoZero"/>
        <c:auto val="1"/>
        <c:lblAlgn val="ctr"/>
        <c:lblOffset val="100"/>
        <c:noMultiLvlLbl val="0"/>
      </c:catAx>
      <c:valAx>
        <c:axId val="73885776"/>
        <c:scaling>
          <c:orientation val="minMax"/>
        </c:scaling>
        <c:delete val="0"/>
        <c:axPos val="b"/>
        <c:majorGridlines>
          <c:spPr>
            <a:ln>
              <a:solidFill>
                <a:schemeClr val="tx1">
                  <a:lumMod val="15000"/>
                  <a:lumOff val="85000"/>
                </a:schemeClr>
              </a:solidFill>
            </a:ln>
            <a:effectLst/>
          </c:spPr>
        </c:majorGridlines>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04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Count of how much time one needs on travelling (taguig)</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42FD-48D8-B7DD-7DFB4AA1F27D}"/>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2-B11C-4A8D-BEF8-10B13D9BC359}"/>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42FD-48D8-B7DD-7DFB4AA1F27D}"/>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42FD-48D8-B7DD-7DFB4AA1F27D}"/>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42FD-48D8-B7DD-7DFB4AA1F27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'Raw Data fr. SP201'!$P$46:$P$50</c:f>
              <c:strCache>
                <c:ptCount val="5"/>
                <c:pt idx="0">
                  <c:v>Less than 30 minutes</c:v>
                </c:pt>
                <c:pt idx="1">
                  <c:v>30-45 minutes</c:v>
                </c:pt>
                <c:pt idx="2">
                  <c:v>45-60 minutes</c:v>
                </c:pt>
                <c:pt idx="3">
                  <c:v>1-1.5 hrs</c:v>
                </c:pt>
                <c:pt idx="4">
                  <c:v>More than 1.5 hrs</c:v>
                </c:pt>
              </c:strCache>
            </c:strRef>
          </c:cat>
          <c:val>
            <c:numRef>
              <c:f>'Raw Data fr. SP201'!$Q$46:$Q$50</c:f>
              <c:numCache>
                <c:formatCode>General</c:formatCode>
                <c:ptCount val="5"/>
                <c:pt idx="0">
                  <c:v>1</c:v>
                </c:pt>
                <c:pt idx="1">
                  <c:v>3</c:v>
                </c:pt>
                <c:pt idx="2">
                  <c:v>3</c:v>
                </c:pt>
                <c:pt idx="3">
                  <c:v>2</c:v>
                </c:pt>
                <c:pt idx="4">
                  <c:v>7</c:v>
                </c:pt>
              </c:numCache>
            </c:numRef>
          </c:val>
          <c:extLst>
            <c:ext xmlns:c16="http://schemas.microsoft.com/office/drawing/2014/chart" uri="{C3380CC4-5D6E-409C-BE32-E72D297353CC}">
              <c16:uniqueId val="{00000000-B11C-4A8D-BEF8-10B13D9BC35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Marital</a:t>
            </a:r>
            <a:r>
              <a:rPr lang="en-US" baseline="0"/>
              <a:t> Status of Respondents Who Work in Taguig</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'Raw Data fr. SP201'!$M$47:$M$48</c:f>
              <c:strCache>
                <c:ptCount val="2"/>
                <c:pt idx="0">
                  <c:v>Single</c:v>
                </c:pt>
                <c:pt idx="1">
                  <c:v>Married</c:v>
                </c:pt>
              </c:strCache>
            </c:strRef>
          </c:cat>
          <c:val>
            <c:numRef>
              <c:f>'Raw Data fr. SP201'!$N$47:$N$48</c:f>
              <c:numCache>
                <c:formatCode>General</c:formatCode>
                <c:ptCount val="2"/>
                <c:pt idx="0">
                  <c:v>15</c:v>
                </c:pt>
                <c:pt idx="1">
                  <c:v>1</c:v>
                </c:pt>
              </c:numCache>
            </c:numRef>
          </c:val>
          <c:extLst>
            <c:ext xmlns:c16="http://schemas.microsoft.com/office/drawing/2014/chart" uri="{C3380CC4-5D6E-409C-BE32-E72D297353CC}">
              <c16:uniqueId val="{0000000C-E3F7-4F0B-BBEA-59C3A4733332}"/>
            </c:ext>
          </c:extLst>
        </c:ser>
        <c:dLbls>
          <c:dLblPos val="outEnd"/>
          <c:showLegendKey val="0"/>
          <c:showVal val="1"/>
          <c:showCatName val="0"/>
          <c:showSerName val="0"/>
          <c:showPercent val="0"/>
          <c:showBubbleSize val="0"/>
        </c:dLbls>
        <c:gapWidth val="100"/>
        <c:axId val="1227756159"/>
        <c:axId val="1227756575"/>
      </c:barChart>
      <c:catAx>
        <c:axId val="12277561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27756575"/>
        <c:crosses val="autoZero"/>
        <c:auto val="1"/>
        <c:lblAlgn val="ctr"/>
        <c:lblOffset val="100"/>
        <c:noMultiLvlLbl val="0"/>
      </c:catAx>
      <c:valAx>
        <c:axId val="1227756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27756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Do</a:t>
            </a:r>
            <a:r>
              <a:rPr lang="en-US" baseline="0"/>
              <a:t> they </a:t>
            </a:r>
            <a:r>
              <a:rPr lang="en-US"/>
              <a:t>live within the city they work at?</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'Raw Data fr. SP201'!$E$45:$E$46</c:f>
              <c:strCache>
                <c:ptCount val="2"/>
                <c:pt idx="0">
                  <c:v>Yes</c:v>
                </c:pt>
                <c:pt idx="1">
                  <c:v>No</c:v>
                </c:pt>
              </c:strCache>
            </c:strRef>
          </c:cat>
          <c:val>
            <c:numRef>
              <c:f>'Raw Data fr. SP201'!$F$45:$F$46</c:f>
              <c:numCache>
                <c:formatCode>General</c:formatCode>
                <c:ptCount val="2"/>
                <c:pt idx="0">
                  <c:v>5</c:v>
                </c:pt>
                <c:pt idx="1">
                  <c:v>30</c:v>
                </c:pt>
              </c:numCache>
            </c:numRef>
          </c:val>
          <c:extLst>
            <c:ext xmlns:c16="http://schemas.microsoft.com/office/drawing/2014/chart" uri="{C3380CC4-5D6E-409C-BE32-E72D297353CC}">
              <c16:uniqueId val="{00000000-37FB-4EF3-9AA3-0A74706813AE}"/>
            </c:ext>
          </c:extLst>
        </c:ser>
        <c:dLbls>
          <c:showLegendKey val="0"/>
          <c:showVal val="0"/>
          <c:showCatName val="0"/>
          <c:showSerName val="0"/>
          <c:showPercent val="0"/>
          <c:showBubbleSize val="0"/>
        </c:dLbls>
        <c:gapWidth val="164"/>
        <c:overlap val="-22"/>
        <c:axId val="153901968"/>
        <c:axId val="81079664"/>
      </c:barChart>
      <c:catAx>
        <c:axId val="153901968"/>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79664"/>
        <c:crosses val="autoZero"/>
        <c:auto val="1"/>
        <c:lblAlgn val="ctr"/>
        <c:lblOffset val="100"/>
        <c:noMultiLvlLbl val="0"/>
      </c:catAx>
      <c:valAx>
        <c:axId val="8107966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01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PH"/>
              <a:t>Number of respondent's per workplace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7DD6-4A1D-AC10-313579A49146}"/>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7DD6-4A1D-AC10-313579A49146}"/>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7DD6-4A1D-AC10-313579A49146}"/>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7DD6-4A1D-AC10-313579A49146}"/>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7DD6-4A1D-AC10-313579A49146}"/>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7DD6-4A1D-AC10-313579A49146}"/>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7DD6-4A1D-AC10-313579A49146}"/>
              </c:ext>
            </c:extLst>
          </c:dPt>
          <c:dLbls>
            <c:dLbl>
              <c:idx val="3"/>
              <c:layout>
                <c:manualLayout>
                  <c:x val="-0.16111111111111112"/>
                  <c:y val="9.259259259259258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7DD6-4A1D-AC10-313579A49146}"/>
                </c:ext>
              </c:extLst>
            </c:dLbl>
            <c:dLbl>
              <c:idx val="4"/>
              <c:layout>
                <c:manualLayout>
                  <c:x val="-0.24444444444444444"/>
                  <c:y val="-2.314814814814816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7DD6-4A1D-AC10-313579A49146}"/>
                </c:ext>
              </c:extLst>
            </c:dLbl>
            <c:dLbl>
              <c:idx val="5"/>
              <c:layout>
                <c:manualLayout>
                  <c:x val="-6.6666666666666721E-2"/>
                  <c:y val="-9.259259259259258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7DD6-4A1D-AC10-313579A49146}"/>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'Raw Data fr. SP201'!$I$47:$I$53</c:f>
              <c:strCache>
                <c:ptCount val="7"/>
                <c:pt idx="0">
                  <c:v>Makati</c:v>
                </c:pt>
                <c:pt idx="1">
                  <c:v>Taguig</c:v>
                </c:pt>
                <c:pt idx="2">
                  <c:v>Muntinlupa</c:v>
                </c:pt>
                <c:pt idx="3">
                  <c:v>Mandaluyong</c:v>
                </c:pt>
                <c:pt idx="4">
                  <c:v>Pasay</c:v>
                </c:pt>
                <c:pt idx="5">
                  <c:v>Quezon City</c:v>
                </c:pt>
                <c:pt idx="6">
                  <c:v>Pasig</c:v>
                </c:pt>
              </c:strCache>
            </c:strRef>
          </c:cat>
          <c:val>
            <c:numRef>
              <c:f>'Raw Data fr. SP201'!$J$47:$J$53</c:f>
              <c:numCache>
                <c:formatCode>General</c:formatCode>
                <c:ptCount val="7"/>
                <c:pt idx="0">
                  <c:v>8</c:v>
                </c:pt>
                <c:pt idx="1">
                  <c:v>16</c:v>
                </c:pt>
                <c:pt idx="2">
                  <c:v>6</c:v>
                </c:pt>
                <c:pt idx="3">
                  <c:v>1</c:v>
                </c:pt>
                <c:pt idx="4">
                  <c:v>1</c:v>
                </c:pt>
                <c:pt idx="5">
                  <c:v>2</c:v>
                </c:pt>
                <c:pt idx="6">
                  <c:v>1</c:v>
                </c:pt>
              </c:numCache>
            </c:numRef>
          </c:val>
          <c:extLst>
            <c:ext xmlns:c16="http://schemas.microsoft.com/office/drawing/2014/chart" uri="{C3380CC4-5D6E-409C-BE32-E72D297353CC}">
              <c16:uniqueId val="{0000000E-7DD6-4A1D-AC10-313579A4914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Count of how much time one needs on travelling (taguig)</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0"/>
          <c:order val="0"/>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'Raw Data fr. SP201'!$P$46:$P$50</c:f>
              <c:strCache>
                <c:ptCount val="5"/>
                <c:pt idx="0">
                  <c:v>Less than 30 minutes</c:v>
                </c:pt>
                <c:pt idx="1">
                  <c:v>30-45 minutes</c:v>
                </c:pt>
                <c:pt idx="2">
                  <c:v>45-60 minutes</c:v>
                </c:pt>
                <c:pt idx="3">
                  <c:v>1-1.5 hrs</c:v>
                </c:pt>
                <c:pt idx="4">
                  <c:v>More than 1.5 hrs</c:v>
                </c:pt>
              </c:strCache>
            </c:strRef>
          </c:cat>
          <c:val>
            <c:numRef>
              <c:f>'Raw Data fr. SP201'!$Q$46:$Q$50</c:f>
              <c:numCache>
                <c:formatCode>General</c:formatCode>
                <c:ptCount val="5"/>
                <c:pt idx="0">
                  <c:v>1</c:v>
                </c:pt>
                <c:pt idx="1">
                  <c:v>3</c:v>
                </c:pt>
                <c:pt idx="2">
                  <c:v>3</c:v>
                </c:pt>
                <c:pt idx="3">
                  <c:v>2</c:v>
                </c:pt>
                <c:pt idx="4">
                  <c:v>7</c:v>
                </c:pt>
              </c:numCache>
            </c:numRef>
          </c:val>
          <c:extLst>
            <c:ext xmlns:c16="http://schemas.microsoft.com/office/drawing/2014/chart" uri="{C3380CC4-5D6E-409C-BE32-E72D297353CC}">
              <c16:uniqueId val="{00000000-19F4-412D-AE7B-F3F0DFFF3EC7}"/>
            </c:ext>
          </c:extLst>
        </c:ser>
        <c:dLbls>
          <c:dLblPos val="outEnd"/>
          <c:showLegendKey val="0"/>
          <c:showVal val="1"/>
          <c:showCatName val="0"/>
          <c:showSerName val="0"/>
          <c:showPercent val="0"/>
          <c:showBubbleSize val="0"/>
        </c:dLbls>
        <c:gapWidth val="150"/>
        <c:axId val="283046240"/>
        <c:axId val="73885776"/>
      </c:barChart>
      <c:catAx>
        <c:axId val="283046240"/>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85776"/>
        <c:crosses val="autoZero"/>
        <c:auto val="1"/>
        <c:lblAlgn val="ctr"/>
        <c:lblOffset val="100"/>
        <c:noMultiLvlLbl val="0"/>
      </c:catAx>
      <c:valAx>
        <c:axId val="73885776"/>
        <c:scaling>
          <c:orientation val="minMax"/>
        </c:scaling>
        <c:delete val="0"/>
        <c:axPos val="b"/>
        <c:majorGridlines>
          <c:spPr>
            <a:ln>
              <a:solidFill>
                <a:schemeClr val="tx1">
                  <a:lumMod val="15000"/>
                  <a:lumOff val="85000"/>
                </a:schemeClr>
              </a:solidFill>
            </a:ln>
            <a:effectLst/>
          </c:spPr>
        </c:majorGridlines>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04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Count of how much time one needs on travelling (taguig)</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A423-4BF6-BD8F-9CF3AFEB1C47}"/>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A423-4BF6-BD8F-9CF3AFEB1C47}"/>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A423-4BF6-BD8F-9CF3AFEB1C47}"/>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A423-4BF6-BD8F-9CF3AFEB1C47}"/>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A423-4BF6-BD8F-9CF3AFEB1C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'Raw Data fr. SP201'!$P$46:$P$50</c:f>
              <c:strCache>
                <c:ptCount val="5"/>
                <c:pt idx="0">
                  <c:v>Less than 30 minutes</c:v>
                </c:pt>
                <c:pt idx="1">
                  <c:v>30-45 minutes</c:v>
                </c:pt>
                <c:pt idx="2">
                  <c:v>45-60 minutes</c:v>
                </c:pt>
                <c:pt idx="3">
                  <c:v>1-1.5 hrs</c:v>
                </c:pt>
                <c:pt idx="4">
                  <c:v>More than 1.5 hrs</c:v>
                </c:pt>
              </c:strCache>
            </c:strRef>
          </c:cat>
          <c:val>
            <c:numRef>
              <c:f>'Raw Data fr. SP201'!$Q$46:$Q$50</c:f>
              <c:numCache>
                <c:formatCode>General</c:formatCode>
                <c:ptCount val="5"/>
                <c:pt idx="0">
                  <c:v>1</c:v>
                </c:pt>
                <c:pt idx="1">
                  <c:v>3</c:v>
                </c:pt>
                <c:pt idx="2">
                  <c:v>3</c:v>
                </c:pt>
                <c:pt idx="3">
                  <c:v>2</c:v>
                </c:pt>
                <c:pt idx="4">
                  <c:v>7</c:v>
                </c:pt>
              </c:numCache>
            </c:numRef>
          </c:val>
          <c:extLst>
            <c:ext xmlns:c16="http://schemas.microsoft.com/office/drawing/2014/chart" uri="{C3380CC4-5D6E-409C-BE32-E72D297353CC}">
              <c16:uniqueId val="{0000000A-A423-4BF6-BD8F-9CF3AFEB1C4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Do they live within the city they work at? (TAGUIG)</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F7B3-4FF6-9E5B-4EF7D21C4CCA}"/>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F7B3-4FF6-9E5B-4EF7D21C4CC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'Raw Data fr. SP201'!$E$45:$E$46</c:f>
              <c:strCache>
                <c:ptCount val="2"/>
                <c:pt idx="0">
                  <c:v>Yes</c:v>
                </c:pt>
                <c:pt idx="1">
                  <c:v>No</c:v>
                </c:pt>
              </c:strCache>
            </c:strRef>
          </c:cat>
          <c:val>
            <c:numRef>
              <c:f>'Raw Data fr. SP201'!$L$47:$L$48</c:f>
              <c:numCache>
                <c:formatCode>General</c:formatCode>
                <c:ptCount val="2"/>
                <c:pt idx="0">
                  <c:v>2</c:v>
                </c:pt>
                <c:pt idx="1">
                  <c:v>14</c:v>
                </c:pt>
              </c:numCache>
            </c:numRef>
          </c:val>
          <c:extLst>
            <c:ext xmlns:c16="http://schemas.microsoft.com/office/drawing/2014/chart" uri="{C3380CC4-5D6E-409C-BE32-E72D297353CC}">
              <c16:uniqueId val="{00000004-F7B3-4FF6-9E5B-4EF7D21C4CC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Marital Status of Respondents Who Work in Taguig</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'Raw Data fr. SP201'!$M$47:$M$48</c:f>
              <c:strCache>
                <c:ptCount val="2"/>
                <c:pt idx="0">
                  <c:v>Single</c:v>
                </c:pt>
                <c:pt idx="1">
                  <c:v>Married</c:v>
                </c:pt>
              </c:strCache>
            </c:strRef>
          </c:cat>
          <c:val>
            <c:numRef>
              <c:f>'Raw Data fr. SP201'!$N$47:$N$48</c:f>
              <c:numCache>
                <c:formatCode>General</c:formatCode>
                <c:ptCount val="2"/>
                <c:pt idx="0">
                  <c:v>15</c:v>
                </c:pt>
                <c:pt idx="1">
                  <c:v>1</c:v>
                </c:pt>
              </c:numCache>
            </c:numRef>
          </c:val>
          <c:extLst>
            <c:ext xmlns:c16="http://schemas.microsoft.com/office/drawing/2014/chart" uri="{C3380CC4-5D6E-409C-BE32-E72D297353CC}">
              <c16:uniqueId val="{00000000-3C12-45AF-B492-D9B78691C656}"/>
            </c:ext>
          </c:extLst>
        </c:ser>
        <c:dLbls>
          <c:dLblPos val="outEnd"/>
          <c:showLegendKey val="0"/>
          <c:showVal val="1"/>
          <c:showCatName val="0"/>
          <c:showSerName val="0"/>
          <c:showPercent val="0"/>
          <c:showBubbleSize val="0"/>
        </c:dLbls>
        <c:gapWidth val="164"/>
        <c:overlap val="-22"/>
        <c:axId val="1227756159"/>
        <c:axId val="1227756575"/>
      </c:barChart>
      <c:catAx>
        <c:axId val="1227756159"/>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756575"/>
        <c:crosses val="autoZero"/>
        <c:auto val="1"/>
        <c:lblAlgn val="ctr"/>
        <c:lblOffset val="100"/>
        <c:noMultiLvlLbl val="0"/>
      </c:catAx>
      <c:valAx>
        <c:axId val="12277565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756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chart" Target="../charts/chart23.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 Id="rId6" Type="http://schemas.openxmlformats.org/officeDocument/2006/relationships/chart" Target="../charts/chart29.xml"/><Relationship Id="rId5" Type="http://schemas.openxmlformats.org/officeDocument/2006/relationships/chart" Target="../charts/chart28.xml"/><Relationship Id="rId4"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dr:twoCellAnchor>
    <xdr:from>
      <xdr:col>0</xdr:col>
      <xdr:colOff>971550</xdr:colOff>
      <xdr:row>55</xdr:row>
      <xdr:rowOff>133350</xdr:rowOff>
    </xdr:from>
    <xdr:to>
      <xdr:col>7</xdr:col>
      <xdr:colOff>19050</xdr:colOff>
      <xdr:row>74</xdr:row>
      <xdr:rowOff>57150</xdr:rowOff>
    </xdr:to>
    <xdr:graphicFrame macro="">
      <xdr:nvGraphicFramePr>
        <xdr:cNvPr id="5" name="Chart 4">
          <a:extLst>
            <a:ext uri="{FF2B5EF4-FFF2-40B4-BE49-F238E27FC236}">
              <a16:creationId xmlns:a16="http://schemas.microsoft.com/office/drawing/2014/main" id="{B7AFD7E2-2A8A-4D73-A113-99939B87E9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32</xdr:row>
      <xdr:rowOff>0</xdr:rowOff>
    </xdr:from>
    <xdr:to>
      <xdr:col>8</xdr:col>
      <xdr:colOff>304800</xdr:colOff>
      <xdr:row>46</xdr:row>
      <xdr:rowOff>76200</xdr:rowOff>
    </xdr:to>
    <xdr:graphicFrame macro="">
      <xdr:nvGraphicFramePr>
        <xdr:cNvPr id="3" name="Chart 2">
          <a:extLst>
            <a:ext uri="{FF2B5EF4-FFF2-40B4-BE49-F238E27FC236}">
              <a16:creationId xmlns:a16="http://schemas.microsoft.com/office/drawing/2014/main" id="{FA424A21-4FD2-49BB-A69E-72F8B5000E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47</xdr:row>
      <xdr:rowOff>0</xdr:rowOff>
    </xdr:from>
    <xdr:to>
      <xdr:col>8</xdr:col>
      <xdr:colOff>304800</xdr:colOff>
      <xdr:row>61</xdr:row>
      <xdr:rowOff>76200</xdr:rowOff>
    </xdr:to>
    <xdr:graphicFrame macro="">
      <xdr:nvGraphicFramePr>
        <xdr:cNvPr id="7" name="Chart 6">
          <a:extLst>
            <a:ext uri="{FF2B5EF4-FFF2-40B4-BE49-F238E27FC236}">
              <a16:creationId xmlns:a16="http://schemas.microsoft.com/office/drawing/2014/main" id="{5A06C587-734E-4B89-9D29-8A29ABACFE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47</xdr:row>
      <xdr:rowOff>0</xdr:rowOff>
    </xdr:from>
    <xdr:to>
      <xdr:col>16</xdr:col>
      <xdr:colOff>304800</xdr:colOff>
      <xdr:row>61</xdr:row>
      <xdr:rowOff>76200</xdr:rowOff>
    </xdr:to>
    <xdr:graphicFrame macro="">
      <xdr:nvGraphicFramePr>
        <xdr:cNvPr id="9" name="Chart 8">
          <a:extLst>
            <a:ext uri="{FF2B5EF4-FFF2-40B4-BE49-F238E27FC236}">
              <a16:creationId xmlns:a16="http://schemas.microsoft.com/office/drawing/2014/main" id="{D55239A8-2E49-4846-A148-F923AA83D9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32</xdr:row>
      <xdr:rowOff>0</xdr:rowOff>
    </xdr:from>
    <xdr:to>
      <xdr:col>16</xdr:col>
      <xdr:colOff>304800</xdr:colOff>
      <xdr:row>46</xdr:row>
      <xdr:rowOff>76200</xdr:rowOff>
    </xdr:to>
    <xdr:graphicFrame macro="">
      <xdr:nvGraphicFramePr>
        <xdr:cNvPr id="10" name="Chart 9">
          <a:extLst>
            <a:ext uri="{FF2B5EF4-FFF2-40B4-BE49-F238E27FC236}">
              <a16:creationId xmlns:a16="http://schemas.microsoft.com/office/drawing/2014/main" id="{9568B7AB-8334-4346-8206-FDF9FCA86B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62</xdr:row>
      <xdr:rowOff>0</xdr:rowOff>
    </xdr:from>
    <xdr:to>
      <xdr:col>8</xdr:col>
      <xdr:colOff>304800</xdr:colOff>
      <xdr:row>76</xdr:row>
      <xdr:rowOff>76200</xdr:rowOff>
    </xdr:to>
    <xdr:graphicFrame macro="">
      <xdr:nvGraphicFramePr>
        <xdr:cNvPr id="8" name="Chart 7">
          <a:extLst>
            <a:ext uri="{FF2B5EF4-FFF2-40B4-BE49-F238E27FC236}">
              <a16:creationId xmlns:a16="http://schemas.microsoft.com/office/drawing/2014/main" id="{C2D97BBD-A71E-450F-8AF0-E0514D5237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14</xdr:row>
      <xdr:rowOff>0</xdr:rowOff>
    </xdr:from>
    <xdr:to>
      <xdr:col>8</xdr:col>
      <xdr:colOff>304800</xdr:colOff>
      <xdr:row>28</xdr:row>
      <xdr:rowOff>76200</xdr:rowOff>
    </xdr:to>
    <xdr:graphicFrame macro="">
      <xdr:nvGraphicFramePr>
        <xdr:cNvPr id="2" name="Chart 1">
          <a:extLst>
            <a:ext uri="{FF2B5EF4-FFF2-40B4-BE49-F238E27FC236}">
              <a16:creationId xmlns:a16="http://schemas.microsoft.com/office/drawing/2014/main" id="{62C15D27-87D8-41A1-BC27-70EB9B400F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14</xdr:row>
      <xdr:rowOff>0</xdr:rowOff>
    </xdr:from>
    <xdr:to>
      <xdr:col>16</xdr:col>
      <xdr:colOff>304800</xdr:colOff>
      <xdr:row>28</xdr:row>
      <xdr:rowOff>76200</xdr:rowOff>
    </xdr:to>
    <xdr:graphicFrame macro="">
      <xdr:nvGraphicFramePr>
        <xdr:cNvPr id="3" name="Chart 2">
          <a:extLst>
            <a:ext uri="{FF2B5EF4-FFF2-40B4-BE49-F238E27FC236}">
              <a16:creationId xmlns:a16="http://schemas.microsoft.com/office/drawing/2014/main" id="{93F70EA5-2049-46B8-90F8-1EC7EF0D74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31</xdr:row>
      <xdr:rowOff>0</xdr:rowOff>
    </xdr:from>
    <xdr:to>
      <xdr:col>8</xdr:col>
      <xdr:colOff>304800</xdr:colOff>
      <xdr:row>45</xdr:row>
      <xdr:rowOff>76200</xdr:rowOff>
    </xdr:to>
    <xdr:graphicFrame macro="">
      <xdr:nvGraphicFramePr>
        <xdr:cNvPr id="4" name="Chart 3">
          <a:extLst>
            <a:ext uri="{FF2B5EF4-FFF2-40B4-BE49-F238E27FC236}">
              <a16:creationId xmlns:a16="http://schemas.microsoft.com/office/drawing/2014/main" id="{DEAD6E30-453D-4AF2-9B3E-A51B902F74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31</xdr:row>
      <xdr:rowOff>0</xdr:rowOff>
    </xdr:from>
    <xdr:to>
      <xdr:col>16</xdr:col>
      <xdr:colOff>304800</xdr:colOff>
      <xdr:row>45</xdr:row>
      <xdr:rowOff>76200</xdr:rowOff>
    </xdr:to>
    <xdr:graphicFrame macro="">
      <xdr:nvGraphicFramePr>
        <xdr:cNvPr id="5" name="Chart 4">
          <a:extLst>
            <a:ext uri="{FF2B5EF4-FFF2-40B4-BE49-F238E27FC236}">
              <a16:creationId xmlns:a16="http://schemas.microsoft.com/office/drawing/2014/main" id="{4BBB54AB-C899-41D7-A4EE-689F3287DE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0</xdr:colOff>
      <xdr:row>31</xdr:row>
      <xdr:rowOff>0</xdr:rowOff>
    </xdr:from>
    <xdr:to>
      <xdr:col>24</xdr:col>
      <xdr:colOff>304800</xdr:colOff>
      <xdr:row>45</xdr:row>
      <xdr:rowOff>76200</xdr:rowOff>
    </xdr:to>
    <xdr:graphicFrame macro="">
      <xdr:nvGraphicFramePr>
        <xdr:cNvPr id="10" name="Chart 9">
          <a:extLst>
            <a:ext uri="{FF2B5EF4-FFF2-40B4-BE49-F238E27FC236}">
              <a16:creationId xmlns:a16="http://schemas.microsoft.com/office/drawing/2014/main" id="{6C61EB17-B285-42C3-928F-C36A28870E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14</xdr:row>
      <xdr:rowOff>0</xdr:rowOff>
    </xdr:from>
    <xdr:to>
      <xdr:col>24</xdr:col>
      <xdr:colOff>304800</xdr:colOff>
      <xdr:row>28</xdr:row>
      <xdr:rowOff>76200</xdr:rowOff>
    </xdr:to>
    <xdr:graphicFrame macro="">
      <xdr:nvGraphicFramePr>
        <xdr:cNvPr id="11" name="Chart 10">
          <a:extLst>
            <a:ext uri="{FF2B5EF4-FFF2-40B4-BE49-F238E27FC236}">
              <a16:creationId xmlns:a16="http://schemas.microsoft.com/office/drawing/2014/main" id="{40744E09-EBED-4F46-A553-3A5B3AB1CB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13</xdr:row>
      <xdr:rowOff>0</xdr:rowOff>
    </xdr:from>
    <xdr:to>
      <xdr:col>8</xdr:col>
      <xdr:colOff>304800</xdr:colOff>
      <xdr:row>27</xdr:row>
      <xdr:rowOff>76200</xdr:rowOff>
    </xdr:to>
    <xdr:graphicFrame macro="">
      <xdr:nvGraphicFramePr>
        <xdr:cNvPr id="2" name="Chart 1">
          <a:extLst>
            <a:ext uri="{FF2B5EF4-FFF2-40B4-BE49-F238E27FC236}">
              <a16:creationId xmlns:a16="http://schemas.microsoft.com/office/drawing/2014/main" id="{738CF5C3-4B72-4E8E-B7A5-BB92CF15F6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13</xdr:row>
      <xdr:rowOff>0</xdr:rowOff>
    </xdr:from>
    <xdr:to>
      <xdr:col>16</xdr:col>
      <xdr:colOff>304800</xdr:colOff>
      <xdr:row>27</xdr:row>
      <xdr:rowOff>76200</xdr:rowOff>
    </xdr:to>
    <xdr:graphicFrame macro="">
      <xdr:nvGraphicFramePr>
        <xdr:cNvPr id="3" name="Chart 2">
          <a:extLst>
            <a:ext uri="{FF2B5EF4-FFF2-40B4-BE49-F238E27FC236}">
              <a16:creationId xmlns:a16="http://schemas.microsoft.com/office/drawing/2014/main" id="{3850FFA0-FECF-42CB-B7DC-E278C3DB14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30</xdr:row>
      <xdr:rowOff>0</xdr:rowOff>
    </xdr:from>
    <xdr:to>
      <xdr:col>8</xdr:col>
      <xdr:colOff>304800</xdr:colOff>
      <xdr:row>44</xdr:row>
      <xdr:rowOff>76200</xdr:rowOff>
    </xdr:to>
    <xdr:graphicFrame macro="">
      <xdr:nvGraphicFramePr>
        <xdr:cNvPr id="4" name="Chart 3">
          <a:extLst>
            <a:ext uri="{FF2B5EF4-FFF2-40B4-BE49-F238E27FC236}">
              <a16:creationId xmlns:a16="http://schemas.microsoft.com/office/drawing/2014/main" id="{CBC9DC7F-7E27-477E-A9CD-1C2848C504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30</xdr:row>
      <xdr:rowOff>0</xdr:rowOff>
    </xdr:from>
    <xdr:to>
      <xdr:col>16</xdr:col>
      <xdr:colOff>304800</xdr:colOff>
      <xdr:row>44</xdr:row>
      <xdr:rowOff>76200</xdr:rowOff>
    </xdr:to>
    <xdr:graphicFrame macro="">
      <xdr:nvGraphicFramePr>
        <xdr:cNvPr id="5" name="Chart 4">
          <a:extLst>
            <a:ext uri="{FF2B5EF4-FFF2-40B4-BE49-F238E27FC236}">
              <a16:creationId xmlns:a16="http://schemas.microsoft.com/office/drawing/2014/main" id="{C8816423-BE6B-4E0B-92E6-35A148BBA9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0</xdr:colOff>
      <xdr:row>30</xdr:row>
      <xdr:rowOff>0</xdr:rowOff>
    </xdr:from>
    <xdr:to>
      <xdr:col>24</xdr:col>
      <xdr:colOff>304800</xdr:colOff>
      <xdr:row>44</xdr:row>
      <xdr:rowOff>76200</xdr:rowOff>
    </xdr:to>
    <xdr:graphicFrame macro="">
      <xdr:nvGraphicFramePr>
        <xdr:cNvPr id="6" name="Chart 5">
          <a:extLst>
            <a:ext uri="{FF2B5EF4-FFF2-40B4-BE49-F238E27FC236}">
              <a16:creationId xmlns:a16="http://schemas.microsoft.com/office/drawing/2014/main" id="{292E2FA0-2A73-4639-96BE-10A52A8F30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13</xdr:row>
      <xdr:rowOff>0</xdr:rowOff>
    </xdr:from>
    <xdr:to>
      <xdr:col>24</xdr:col>
      <xdr:colOff>304800</xdr:colOff>
      <xdr:row>27</xdr:row>
      <xdr:rowOff>76200</xdr:rowOff>
    </xdr:to>
    <xdr:graphicFrame macro="">
      <xdr:nvGraphicFramePr>
        <xdr:cNvPr id="7" name="Chart 6">
          <a:extLst>
            <a:ext uri="{FF2B5EF4-FFF2-40B4-BE49-F238E27FC236}">
              <a16:creationId xmlns:a16="http://schemas.microsoft.com/office/drawing/2014/main" id="{0EF87269-2A4F-40F0-B30A-EFC0BFEF4D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0</xdr:colOff>
      <xdr:row>45</xdr:row>
      <xdr:rowOff>0</xdr:rowOff>
    </xdr:from>
    <xdr:to>
      <xdr:col>24</xdr:col>
      <xdr:colOff>304800</xdr:colOff>
      <xdr:row>59</xdr:row>
      <xdr:rowOff>76200</xdr:rowOff>
    </xdr:to>
    <xdr:graphicFrame macro="">
      <xdr:nvGraphicFramePr>
        <xdr:cNvPr id="10" name="Chart 9">
          <a:extLst>
            <a:ext uri="{FF2B5EF4-FFF2-40B4-BE49-F238E27FC236}">
              <a16:creationId xmlns:a16="http://schemas.microsoft.com/office/drawing/2014/main" id="{1690038B-98F5-4CF6-A95A-27978918B8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0</xdr:colOff>
      <xdr:row>61</xdr:row>
      <xdr:rowOff>0</xdr:rowOff>
    </xdr:from>
    <xdr:to>
      <xdr:col>24</xdr:col>
      <xdr:colOff>304800</xdr:colOff>
      <xdr:row>75</xdr:row>
      <xdr:rowOff>76200</xdr:rowOff>
    </xdr:to>
    <xdr:graphicFrame macro="">
      <xdr:nvGraphicFramePr>
        <xdr:cNvPr id="12" name="Chart 11">
          <a:extLst>
            <a:ext uri="{FF2B5EF4-FFF2-40B4-BE49-F238E27FC236}">
              <a16:creationId xmlns:a16="http://schemas.microsoft.com/office/drawing/2014/main" id="{2E010970-3C1A-4BBD-887F-193C59F248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0</xdr:colOff>
      <xdr:row>46</xdr:row>
      <xdr:rowOff>0</xdr:rowOff>
    </xdr:from>
    <xdr:to>
      <xdr:col>16</xdr:col>
      <xdr:colOff>304800</xdr:colOff>
      <xdr:row>60</xdr:row>
      <xdr:rowOff>76200</xdr:rowOff>
    </xdr:to>
    <xdr:graphicFrame macro="">
      <xdr:nvGraphicFramePr>
        <xdr:cNvPr id="15" name="Chart 14">
          <a:extLst>
            <a:ext uri="{FF2B5EF4-FFF2-40B4-BE49-F238E27FC236}">
              <a16:creationId xmlns:a16="http://schemas.microsoft.com/office/drawing/2014/main" id="{7C99D7E6-151D-4A92-AA3F-DA55CDE37B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0</xdr:colOff>
      <xdr:row>61</xdr:row>
      <xdr:rowOff>0</xdr:rowOff>
    </xdr:from>
    <xdr:to>
      <xdr:col>16</xdr:col>
      <xdr:colOff>304800</xdr:colOff>
      <xdr:row>75</xdr:row>
      <xdr:rowOff>76200</xdr:rowOff>
    </xdr:to>
    <xdr:graphicFrame macro="">
      <xdr:nvGraphicFramePr>
        <xdr:cNvPr id="16" name="Chart 15">
          <a:extLst>
            <a:ext uri="{FF2B5EF4-FFF2-40B4-BE49-F238E27FC236}">
              <a16:creationId xmlns:a16="http://schemas.microsoft.com/office/drawing/2014/main" id="{C31D02B7-CD67-45A8-B365-91718AB109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0</xdr:colOff>
      <xdr:row>76</xdr:row>
      <xdr:rowOff>0</xdr:rowOff>
    </xdr:from>
    <xdr:to>
      <xdr:col>16</xdr:col>
      <xdr:colOff>304800</xdr:colOff>
      <xdr:row>90</xdr:row>
      <xdr:rowOff>76200</xdr:rowOff>
    </xdr:to>
    <xdr:graphicFrame macro="">
      <xdr:nvGraphicFramePr>
        <xdr:cNvPr id="17" name="Chart 16">
          <a:extLst>
            <a:ext uri="{FF2B5EF4-FFF2-40B4-BE49-F238E27FC236}">
              <a16:creationId xmlns:a16="http://schemas.microsoft.com/office/drawing/2014/main" id="{911315A9-4009-4F80-85B9-2C78AC63F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12</xdr:row>
      <xdr:rowOff>0</xdr:rowOff>
    </xdr:from>
    <xdr:to>
      <xdr:col>8</xdr:col>
      <xdr:colOff>304800</xdr:colOff>
      <xdr:row>26</xdr:row>
      <xdr:rowOff>76200</xdr:rowOff>
    </xdr:to>
    <xdr:graphicFrame macro="">
      <xdr:nvGraphicFramePr>
        <xdr:cNvPr id="13" name="Chart 12">
          <a:extLst>
            <a:ext uri="{FF2B5EF4-FFF2-40B4-BE49-F238E27FC236}">
              <a16:creationId xmlns:a16="http://schemas.microsoft.com/office/drawing/2014/main" id="{7A259992-2C84-4136-AB65-69A2314687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12</xdr:row>
      <xdr:rowOff>0</xdr:rowOff>
    </xdr:from>
    <xdr:to>
      <xdr:col>16</xdr:col>
      <xdr:colOff>304800</xdr:colOff>
      <xdr:row>26</xdr:row>
      <xdr:rowOff>76200</xdr:rowOff>
    </xdr:to>
    <xdr:graphicFrame macro="">
      <xdr:nvGraphicFramePr>
        <xdr:cNvPr id="14" name="Chart 13">
          <a:extLst>
            <a:ext uri="{FF2B5EF4-FFF2-40B4-BE49-F238E27FC236}">
              <a16:creationId xmlns:a16="http://schemas.microsoft.com/office/drawing/2014/main" id="{CC01E47E-A459-4F16-A7B5-1CE0E508B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12</xdr:row>
      <xdr:rowOff>0</xdr:rowOff>
    </xdr:from>
    <xdr:to>
      <xdr:col>24</xdr:col>
      <xdr:colOff>304800</xdr:colOff>
      <xdr:row>26</xdr:row>
      <xdr:rowOff>76200</xdr:rowOff>
    </xdr:to>
    <xdr:graphicFrame macro="">
      <xdr:nvGraphicFramePr>
        <xdr:cNvPr id="15" name="Chart 14">
          <a:extLst>
            <a:ext uri="{FF2B5EF4-FFF2-40B4-BE49-F238E27FC236}">
              <a16:creationId xmlns:a16="http://schemas.microsoft.com/office/drawing/2014/main" id="{B38524BD-D86A-43E2-9468-6CBC956ECC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27</xdr:row>
      <xdr:rowOff>0</xdr:rowOff>
    </xdr:from>
    <xdr:to>
      <xdr:col>16</xdr:col>
      <xdr:colOff>304800</xdr:colOff>
      <xdr:row>41</xdr:row>
      <xdr:rowOff>76200</xdr:rowOff>
    </xdr:to>
    <xdr:graphicFrame macro="">
      <xdr:nvGraphicFramePr>
        <xdr:cNvPr id="16" name="Chart 15">
          <a:extLst>
            <a:ext uri="{FF2B5EF4-FFF2-40B4-BE49-F238E27FC236}">
              <a16:creationId xmlns:a16="http://schemas.microsoft.com/office/drawing/2014/main" id="{A5B1B443-8522-4C84-861C-6FE29AA6B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0</xdr:colOff>
      <xdr:row>27</xdr:row>
      <xdr:rowOff>0</xdr:rowOff>
    </xdr:from>
    <xdr:to>
      <xdr:col>24</xdr:col>
      <xdr:colOff>304800</xdr:colOff>
      <xdr:row>41</xdr:row>
      <xdr:rowOff>76200</xdr:rowOff>
    </xdr:to>
    <xdr:graphicFrame macro="">
      <xdr:nvGraphicFramePr>
        <xdr:cNvPr id="17" name="Chart 16">
          <a:extLst>
            <a:ext uri="{FF2B5EF4-FFF2-40B4-BE49-F238E27FC236}">
              <a16:creationId xmlns:a16="http://schemas.microsoft.com/office/drawing/2014/main" id="{7D3FA9C5-1D3F-4F84-AB9B-1E01794DB9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42</xdr:row>
      <xdr:rowOff>0</xdr:rowOff>
    </xdr:from>
    <xdr:to>
      <xdr:col>16</xdr:col>
      <xdr:colOff>304800</xdr:colOff>
      <xdr:row>56</xdr:row>
      <xdr:rowOff>76200</xdr:rowOff>
    </xdr:to>
    <xdr:graphicFrame macro="">
      <xdr:nvGraphicFramePr>
        <xdr:cNvPr id="18" name="Chart 17">
          <a:extLst>
            <a:ext uri="{FF2B5EF4-FFF2-40B4-BE49-F238E27FC236}">
              <a16:creationId xmlns:a16="http://schemas.microsoft.com/office/drawing/2014/main" id="{2FD229A6-4DDD-47FD-873E-3A7DB3F03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entNexus/Documents/Data%20Scientist/Essential%20Excel%20Skills%20for%20Data%20Preparation%20and%20Analysis/pastoril_tyronekent_SP201B01_capston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ek - 1"/>
      <sheetName val="Week - 2"/>
      <sheetName val="Week - 3"/>
      <sheetName val="Week - 4"/>
      <sheetName val="Week - 5"/>
      <sheetName val="CHART"/>
      <sheetName val="CHART-sample"/>
      <sheetName val="CHART-hidden"/>
      <sheetName val="Sheet1"/>
    </sheetNames>
    <sheetDataSet>
      <sheetData sheetId="0"/>
      <sheetData sheetId="1"/>
      <sheetData sheetId="2"/>
      <sheetData sheetId="3"/>
      <sheetData sheetId="4">
        <row r="43">
          <cell r="T43">
            <v>9.5062499999999996</v>
          </cell>
          <cell r="Y43">
            <v>2.6391666666666667</v>
          </cell>
          <cell r="AF43">
            <v>11.854583333333334</v>
          </cell>
        </row>
      </sheetData>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CA04C2-48E2-47F5-BFC5-67CE2589BAF7}" name="Table2427245" displayName="Table2427245" ref="A1:AJ36" totalsRowShown="0" headerRowDxfId="37" dataDxfId="36">
  <autoFilter ref="A1:AJ36" xr:uid="{05C1F94C-190A-40F6-A2DD-403E368D9BF4}"/>
  <tableColumns count="36">
    <tableColumn id="29" xr3:uid="{34936957-D386-4888-A1AB-BFAD1F49F3C1}" name="Age Bracket" dataDxfId="35"/>
    <tableColumn id="4" xr3:uid="{3D169A32-AE02-4679-BF84-BC82D9DE4596}" name="Gender" dataDxfId="34"/>
    <tableColumn id="25" xr3:uid="{56CF3D25-E307-43CF-9336-39CF0D438267}" name="Marital Status" dataDxfId="33"/>
    <tableColumn id="37" xr3:uid="{84A855D6-F5A9-4B0C-A180-75346672624D}" name="Marital Status (taguig)" dataDxfId="32">
      <calculatedColumnFormula>IF(Table2427245[[#This Row],[Workplace Location]]="Taguig",IF(Table2427245[[#This Row],[Marital Status]]="Single",1,0),"na")</calculatedColumnFormula>
    </tableColumn>
    <tableColumn id="5" xr3:uid="{3CD15E4A-611D-40ED-9723-EAC426F33BEE}" name="Employment Status" dataDxfId="31"/>
    <tableColumn id="6" xr3:uid="{6F8470AB-C1D7-4B55-BD4A-FEB2B8067842}" name="Location of Residence" dataDxfId="30"/>
    <tableColumn id="16" xr3:uid="{DC94394A-A2C7-4D61-B141-7D07C3DB298F}" name="If others," dataDxfId="29"/>
    <tableColumn id="10" xr3:uid="{18FFD821-07D7-4DC2-976D-6A5FDE638D20}" name="Workplace Location" dataDxfId="28"/>
    <tableColumn id="17" xr3:uid="{00579C88-DB5F-4984-B91E-9E784032A42D}" name="If others,2" dataDxfId="27"/>
    <tableColumn id="3" xr3:uid="{98E64BE7-0EBB-4CE4-981F-875DB0B57873}" name="Does he live within the city he works at?" dataDxfId="26">
      <calculatedColumnFormula>IF(Table2427245[[#This Row],[Location of Residence]]=Table2427245[[#This Row],[Workplace Location]],1,0)</calculatedColumnFormula>
    </tableColumn>
    <tableColumn id="34" xr3:uid="{DF87F5A4-23AE-42E7-8FE5-22F8CDD77CC4}" name="Does he live within the city he works at? (TAGUIG)" dataDxfId="25">
      <calculatedColumnFormula array="1">IF(Table2427245[[#This Row],[Workplace Location]]="Taguig",IF(Table2427245[[#This Row],[Location of Residence]]=Table2427245[[#This Row],[Workplace Location]],1,0),null)</calculatedColumnFormula>
    </tableColumn>
    <tableColumn id="12" xr3:uid="{A6E42E96-E52A-46BB-B179-E11341E83B31}" name="Start of Work (time)" dataDxfId="24"/>
    <tableColumn id="13" xr3:uid="{771436CB-6280-4E96-91A5-C4BAD15EB5C5}" name="Time of Departure (from Home)" dataDxfId="23"/>
    <tableColumn id="1" xr3:uid="{EABF2005-41FA-4F57-98F8-D14C6B51F87B}" name="Time of Arrival (at Work)" dataDxfId="22"/>
    <tableColumn id="18" xr3:uid="{943FBAFE-90BA-41B6-BF51-97EBE9BDBA91}" name="Travel Time from Home to Work" dataDxfId="21">
      <calculatedColumnFormula>ABS(IF(Table2427245[[#This Row],[Time of Arrival (at Work)]]&lt;Table2427245[[#This Row],[Time of Departure (from Home)]],Table2427245[[#This Row],[Time of Arrival (at Work)]]+24-Table2427245[[#This Row],[Time of Departure (from Home)]],Table2427245[[#This Row],[Time of Arrival (at Work)]]-Table2427245[[#This Row],[Time of Departure (from Home)]]))</calculatedColumnFormula>
    </tableColumn>
    <tableColumn id="19" xr3:uid="{29E2A8CA-1272-442D-BE65-F0702BF3D5E0}" name="Travel Time from Home to Work in Decimals" dataDxfId="20">
      <calculatedColumnFormula>Table2427245[[#This Row],[Travel Time from Home to Work]]*24</calculatedColumnFormula>
    </tableColumn>
    <tableColumn id="36" xr3:uid="{09BCE791-4B4A-4AEB-A1A9-AE8B6DCED4BC}" name="Travel Time from Home to Work in Decimals (taguig)" dataDxfId="19">
      <calculatedColumnFormula>IF(Table2427245[[#This Row],[Workplace Location]]="Taguig",Table2427245[[#This Row],[Travel Time from Home to Work in Decimals]],"na")</calculatedColumnFormula>
    </tableColumn>
    <tableColumn id="14" xr3:uid="{71A634EF-17EA-4A5A-BE45-93293D00A54E}" name="Travel cost " dataDxfId="18"/>
    <tableColumn id="35" xr3:uid="{F8E229BE-4637-4534-9D7D-3AC275B61448}" name="Travel cost (taguig only)" dataDxfId="17">
      <calculatedColumnFormula>IF(Table2427245[[#This Row],[Workplace Location]]="Taguig",Table2427245[[#This Row],[Travel cost ]],"na")</calculatedColumnFormula>
    </tableColumn>
    <tableColumn id="15" xr3:uid="{89D11186-E90B-43BC-8949-D1E32C4C0B06}" name="End of Work (time)" dataDxfId="16"/>
    <tableColumn id="9" xr3:uid="{4B73253B-F93C-42A3-9F19-63A4611C60F2}" name="Time of Departure (from Work)" dataDxfId="15"/>
    <tableColumn id="2" xr3:uid="{7AC99526-0932-43C6-A785-A07856A61FD6}" name="Time of Arrival (at Home)" dataDxfId="14"/>
    <tableColumn id="21" xr3:uid="{0DE8305E-B247-4C08-86E2-0659027986A7}" name="Total Work Hours" dataDxfId="13">
      <calculatedColumnFormula>IF(Table2427245[[#This Row],[End of Work (time)]]&lt;Table2427245[[#This Row],[Start of Work (time)]],Table2427245[[#This Row],[End of Work (time)]]+24-Table2427245[[#This Row],[Start of Work (time)]],Table2427245[[#This Row],[End of Work (time)]]-Table2427245[[#This Row],[Start of Work (time)]])</calculatedColumnFormula>
    </tableColumn>
    <tableColumn id="32" xr3:uid="{A870DA69-F802-4DE5-8364-E980A9BA5424}" name="Total Work Hours in Decimals" dataDxfId="12">
      <calculatedColumnFormula>HOUR(Table2427245[[#This Row],[Total Work Hours]])+MINUTE(Table2427245[[#This Row],[Total Work Hours]])/60</calculatedColumnFormula>
    </tableColumn>
    <tableColumn id="20" xr3:uid="{E56CEEC0-E361-4436-B4A3-D1442E4D3049}" name="Travel Time from Work to Home" dataDxfId="11">
      <calculatedColumnFormula>(IF(Table2427245[[#This Row],[Time of Arrival (at Home)]]&lt;Table2427245[[#This Row],[Time of Departure (from Work)]],Table2427245[[#This Row],[Time of Arrival (at Home)]]+24-Table2427245[[#This Row],[Time of Departure (from Work)]],Table2427245[[#This Row],[Time of Arrival (at Home)]]-Table2427245[[#This Row],[Time of Departure (from Work)]]))</calculatedColumnFormula>
    </tableColumn>
    <tableColumn id="23" xr3:uid="{37CECEB7-C484-48D9-AD28-B35D226DE51A}" name="Travel Time from Work to Home in Decimal" dataDxfId="10">
      <calculatedColumnFormula>Table2427245[[#This Row],[Travel Time from Work to Home]]*24</calculatedColumnFormula>
    </tableColumn>
    <tableColumn id="7" xr3:uid="{ED2CC3DB-F954-40C1-9388-1D3188CCBA53}" name="Travel cost" dataDxfId="9"/>
    <tableColumn id="11" xr3:uid="{F3AB0AA8-F4FF-4E46-B361-069ABF4E70B2}" name="Total Travel Time" dataDxfId="8">
      <calculatedColumnFormula>Table2427245[[#This Row],[Travel Time from Work to Home]]+Table2427245[[#This Row],[Travel Time from Home to Work]]</calculatedColumnFormula>
    </tableColumn>
    <tableColumn id="24" xr3:uid="{2CCB6876-E5C8-44D6-9FC9-ABCBFFB30372}" name="Total travel time in hr" dataDxfId="7">
      <calculatedColumnFormula>HOUR(Table2427245[[#This Row],[Total Travel Time]])+MINUTE(Table2427245[[#This Row],[Total Travel Time]])/60</calculatedColumnFormula>
    </tableColumn>
    <tableColumn id="30" xr3:uid="{9A07B05C-E106-4FFD-A583-50218E658DCF}" name="% of commute / (work + commute)" dataDxfId="6">
      <calculatedColumnFormula>Table2427245[[#This Row],[Total travel time in hr]]/(Table2427245[[#This Row],[Total travel time in hr]]+HOUR(Table2427245[[#This Row],[Total Work Hours]])+MINUTE(Table2427245[[#This Row],[Total Work Hours]])/60)</calculatedColumnFormula>
    </tableColumn>
    <tableColumn id="8" xr3:uid="{18FC1586-9A40-47FF-B76A-681A8DB1951D}" name="% of commute / day" dataDxfId="5">
      <calculatedColumnFormula>Table2427245[[#This Row],[Total travel time in hr]]/24</calculatedColumnFormula>
    </tableColumn>
    <tableColumn id="22" xr3:uid="{DD29791F-1BFD-45A8-B20A-111BCCEA2AC2}" name="Total travel time (hr) in a month (22 days)" dataDxfId="4">
      <calculatedColumnFormula>Table2427245[[#This Row],[Total travel time in hr]]*22</calculatedColumnFormula>
    </tableColumn>
    <tableColumn id="26" xr3:uid="{02B5F497-F528-4A13-9F28-4678C03A78FC}" name="In days" dataDxfId="3">
      <calculatedColumnFormula>Table2427245[[#This Row],[Total travel time (hr) in a month (22 days)]]/24</calculatedColumnFormula>
    </tableColumn>
    <tableColumn id="27" xr3:uid="{C0D31A06-C1A9-443C-B66F-43DAD84ED554}" name="Total Cost" dataDxfId="2">
      <calculatedColumnFormula>Table2427245[[#This Row],[Travel cost]]+Table2427245[[#This Row],[Travel cost ]]</calculatedColumnFormula>
    </tableColumn>
    <tableColumn id="28" xr3:uid="{C348D302-67A5-429A-BEF3-0108EE80DDC3}" name="Total Cost in a month (22 days)" dataDxfId="1">
      <calculatedColumnFormula>Table2427245[[#This Row],[Total Cost]]*22</calculatedColumnFormula>
    </tableColumn>
    <tableColumn id="33" xr3:uid="{AC9B3E15-6ECE-424B-8D00-049BB200265F}" name="The rest of the day" dataDxfId="0">
      <calculatedColumnFormula>24-Table2427245[[#This Row],[Total Work Hours in Decimals]]-Table2427245[[#This Row],[Total travel time (hr) in a month (22 days)]]/22</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FA815-8CEF-4A31-B398-73B24D05623A}">
  <sheetPr>
    <tabColor theme="8" tint="0.59999389629810485"/>
  </sheetPr>
  <dimension ref="A1:AK81"/>
  <sheetViews>
    <sheetView topLeftCell="A13" workbookViewId="0">
      <selection activeCell="G27" sqref="G27"/>
    </sheetView>
  </sheetViews>
  <sheetFormatPr defaultRowHeight="15" x14ac:dyDescent="0.25"/>
  <cols>
    <col min="1" max="1" width="17" style="11" bestFit="1" customWidth="1"/>
    <col min="2" max="2" width="16.140625" style="11" bestFit="1" customWidth="1"/>
    <col min="3" max="3" width="12" style="11" bestFit="1" customWidth="1"/>
    <col min="4" max="4" width="12" style="11" customWidth="1"/>
    <col min="5" max="5" width="23" style="11" bestFit="1" customWidth="1"/>
    <col min="6" max="6" width="15.28515625" style="11" bestFit="1" customWidth="1"/>
    <col min="7" max="7" width="19.42578125" style="11" bestFit="1" customWidth="1"/>
    <col min="8" max="8" width="15.140625" style="11" bestFit="1" customWidth="1"/>
    <col min="9" max="9" width="18.85546875" style="11" bestFit="1" customWidth="1"/>
    <col min="10" max="10" width="21.7109375" style="11" bestFit="1" customWidth="1"/>
    <col min="11" max="11" width="21.7109375" style="11" customWidth="1"/>
    <col min="12" max="12" width="17.28515625" style="10" bestFit="1" customWidth="1"/>
    <col min="13" max="13" width="22" style="11" bestFit="1" customWidth="1"/>
    <col min="14" max="14" width="21.5703125" style="11" bestFit="1" customWidth="1"/>
    <col min="15" max="15" width="20.7109375" style="11" bestFit="1" customWidth="1"/>
    <col min="16" max="16" width="29" style="11" bestFit="1" customWidth="1"/>
    <col min="17" max="17" width="29" style="14" customWidth="1"/>
    <col min="18" max="18" width="15" style="23" bestFit="1" customWidth="1"/>
    <col min="19" max="19" width="15" style="23" customWidth="1"/>
    <col min="20" max="20" width="16.42578125" style="11" bestFit="1" customWidth="1"/>
    <col min="21" max="21" width="22" style="11" bestFit="1" customWidth="1"/>
    <col min="22" max="22" width="21.5703125" style="11" bestFit="1" customWidth="1"/>
    <col min="23" max="23" width="15.28515625" style="11" bestFit="1" customWidth="1"/>
    <col min="24" max="24" width="23.28515625" style="14" bestFit="1" customWidth="1"/>
    <col min="25" max="25" width="20.7109375" style="11" bestFit="1" customWidth="1"/>
    <col min="26" max="26" width="28.5703125" style="11" bestFit="1" customWidth="1"/>
    <col min="27" max="27" width="15" style="23" bestFit="1" customWidth="1"/>
    <col min="28" max="28" width="15.85546875" style="11" bestFit="1" customWidth="1"/>
    <col min="29" max="29" width="15.5703125" style="11" bestFit="1" customWidth="1"/>
    <col min="30" max="30" width="25.42578125" style="11" bestFit="1" customWidth="1"/>
    <col min="31" max="31" width="19.7109375" style="17" bestFit="1" customWidth="1"/>
    <col min="32" max="32" width="27.85546875" style="17" bestFit="1" customWidth="1"/>
    <col min="33" max="33" width="11.7109375" style="11" bestFit="1" customWidth="1"/>
    <col min="34" max="34" width="14.28515625" style="17" bestFit="1" customWidth="1"/>
    <col min="35" max="35" width="27.7109375" style="14" bestFit="1" customWidth="1"/>
    <col min="36" max="36" width="18.5703125" style="11" bestFit="1" customWidth="1"/>
    <col min="37" max="37" width="9.140625" style="14"/>
    <col min="38" max="38" width="13.28515625" style="11" bestFit="1" customWidth="1"/>
    <col min="39" max="16384" width="9.140625" style="11"/>
  </cols>
  <sheetData>
    <row r="1" spans="1:37" s="1" customFormat="1" ht="31.5" customHeight="1" x14ac:dyDescent="0.25">
      <c r="A1" s="1" t="s">
        <v>3</v>
      </c>
      <c r="B1" s="1" t="s">
        <v>0</v>
      </c>
      <c r="C1" s="1" t="s">
        <v>4</v>
      </c>
      <c r="D1" s="1" t="s">
        <v>170</v>
      </c>
      <c r="E1" s="1" t="s">
        <v>2</v>
      </c>
      <c r="F1" s="1" t="s">
        <v>1</v>
      </c>
      <c r="G1" s="1" t="s">
        <v>58</v>
      </c>
      <c r="H1" s="1" t="s">
        <v>34</v>
      </c>
      <c r="I1" s="1" t="s">
        <v>59</v>
      </c>
      <c r="J1" s="21" t="s">
        <v>118</v>
      </c>
      <c r="K1" s="21" t="s">
        <v>161</v>
      </c>
      <c r="L1" s="2" t="s">
        <v>10</v>
      </c>
      <c r="M1" s="1" t="s">
        <v>7</v>
      </c>
      <c r="N1" s="1" t="s">
        <v>35</v>
      </c>
      <c r="O1" s="3" t="s">
        <v>66</v>
      </c>
      <c r="P1" s="3" t="s">
        <v>67</v>
      </c>
      <c r="Q1" s="4" t="s">
        <v>168</v>
      </c>
      <c r="R1" s="22" t="s">
        <v>5</v>
      </c>
      <c r="S1" s="22" t="s">
        <v>165</v>
      </c>
      <c r="T1" s="2" t="s">
        <v>11</v>
      </c>
      <c r="U1" s="2" t="s">
        <v>8</v>
      </c>
      <c r="V1" s="2" t="s">
        <v>9</v>
      </c>
      <c r="W1" s="2" t="s">
        <v>68</v>
      </c>
      <c r="X1" s="4" t="s">
        <v>69</v>
      </c>
      <c r="Y1" s="1" t="s">
        <v>70</v>
      </c>
      <c r="Z1" s="1" t="s">
        <v>71</v>
      </c>
      <c r="AA1" s="22" t="s">
        <v>6</v>
      </c>
      <c r="AB1" s="1" t="s">
        <v>72</v>
      </c>
      <c r="AC1" s="1" t="s">
        <v>73</v>
      </c>
      <c r="AD1" s="1" t="s">
        <v>74</v>
      </c>
      <c r="AE1" s="5" t="s">
        <v>75</v>
      </c>
      <c r="AF1" s="4" t="s">
        <v>76</v>
      </c>
      <c r="AG1" s="4" t="s">
        <v>77</v>
      </c>
      <c r="AH1" s="1" t="s">
        <v>78</v>
      </c>
      <c r="AI1" s="1" t="s">
        <v>79</v>
      </c>
      <c r="AJ1" s="4" t="s">
        <v>80</v>
      </c>
    </row>
    <row r="2" spans="1:37" x14ac:dyDescent="0.25">
      <c r="A2" s="11" t="s">
        <v>36</v>
      </c>
      <c r="B2" s="11" t="s">
        <v>37</v>
      </c>
      <c r="C2" s="11" t="s">
        <v>12</v>
      </c>
      <c r="D2" s="11" t="str">
        <f>IF(Table2427245[[#This Row],[Workplace Location]]="Taguig",IF(Table2427245[[#This Row],[Marital Status]]="Single",1,0),"na")</f>
        <v>na</v>
      </c>
      <c r="E2" s="11" t="s">
        <v>16</v>
      </c>
      <c r="F2" s="11" t="s">
        <v>38</v>
      </c>
      <c r="H2" s="11" t="s">
        <v>39</v>
      </c>
      <c r="J2" s="11">
        <f>IF(Table2427245[[#This Row],[Location of Residence]]=Table2427245[[#This Row],[Workplace Location]],1,0)</f>
        <v>0</v>
      </c>
      <c r="K2" s="11" t="e" cm="1">
        <f t="array" ref="K2">IF(Table2427245[[#This Row],[Workplace Location]]="Taguig",IF(Table2427245[[#This Row],[Location of Residence]]=Table2427245[[#This Row],[Workplace Location]],1,0),null)</f>
        <v>#NAME?</v>
      </c>
      <c r="L2" s="6">
        <v>0.875</v>
      </c>
      <c r="M2" s="12">
        <v>0.875</v>
      </c>
      <c r="N2" s="12">
        <v>0.91666666666666663</v>
      </c>
      <c r="O2" s="15">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4.166666666666663E-2</v>
      </c>
      <c r="P2" s="16">
        <f>Table2427245[[#This Row],[Travel Time from Home to Work]]*24</f>
        <v>0.99999999999999911</v>
      </c>
      <c r="Q2" s="14" t="str">
        <f>IF(Table2427245[[#This Row],[Workplace Location]]="Taguig",Table2427245[[#This Row],[Travel Time from Home to Work in Decimals]],"na")</f>
        <v>na</v>
      </c>
      <c r="R2" s="23">
        <v>50</v>
      </c>
      <c r="S2" s="23" t="str">
        <f>IF(Table2427245[[#This Row],[Workplace Location]]="Taguig",Table2427245[[#This Row],[Travel cost ]],"na")</f>
        <v>na</v>
      </c>
      <c r="T2" s="12">
        <v>0.25</v>
      </c>
      <c r="U2" s="12">
        <v>0.25</v>
      </c>
      <c r="V2" s="12">
        <v>0.30555555555555552</v>
      </c>
      <c r="W2" s="15">
        <f>IF(Table2427245[[#This Row],[End of Work (time)]]&lt;Table2427245[[#This Row],[Start of Work (time)]],Table2427245[[#This Row],[End of Work (time)]]+24-Table2427245[[#This Row],[Start of Work (time)]],Table2427245[[#This Row],[End of Work (time)]]-Table2427245[[#This Row],[Start of Work (time)]])</f>
        <v>23.375</v>
      </c>
      <c r="X2" s="16">
        <f>HOUR(Table2427245[[#This Row],[Total Work Hours]])+MINUTE(Table2427245[[#This Row],[Total Work Hours]])/60</f>
        <v>9</v>
      </c>
      <c r="Y2"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5.5555555555555525E-2</v>
      </c>
      <c r="Z2" s="16">
        <f>Table2427245[[#This Row],[Travel Time from Work to Home]]*24</f>
        <v>1.3333333333333326</v>
      </c>
      <c r="AA2" s="23">
        <v>50</v>
      </c>
      <c r="AB2" s="13">
        <f>Table2427245[[#This Row],[Travel Time from Work to Home]]+Table2427245[[#This Row],[Travel Time from Home to Work]]</f>
        <v>9.7222222222222154E-2</v>
      </c>
      <c r="AC2" s="14">
        <f>HOUR(Table2427245[[#This Row],[Total Travel Time]])+MINUTE(Table2427245[[#This Row],[Total Travel Time]])/60</f>
        <v>2.3333333333333335</v>
      </c>
      <c r="AD2" s="17">
        <f>Table2427245[[#This Row],[Total travel time in hr]]/(Table2427245[[#This Row],[Total travel time in hr]]+HOUR(Table2427245[[#This Row],[Total Work Hours]])+MINUTE(Table2427245[[#This Row],[Total Work Hours]])/60)</f>
        <v>0.20588235294117646</v>
      </c>
      <c r="AE2" s="7">
        <f>Table2427245[[#This Row],[Total travel time in hr]]/24</f>
        <v>9.7222222222222224E-2</v>
      </c>
      <c r="AF2" s="8">
        <f>Table2427245[[#This Row],[Total travel time in hr]]*22</f>
        <v>51.333333333333336</v>
      </c>
      <c r="AG2" s="8">
        <f>Table2427245[[#This Row],[Total travel time (hr) in a month (22 days)]]/24</f>
        <v>2.1388888888888888</v>
      </c>
      <c r="AH2" s="9">
        <f>Table2427245[[#This Row],[Travel cost]]+Table2427245[[#This Row],[Travel cost ]]</f>
        <v>100</v>
      </c>
      <c r="AI2" s="9">
        <f>Table2427245[[#This Row],[Total Cost]]*22</f>
        <v>2200</v>
      </c>
      <c r="AJ2" s="8">
        <f>24-Table2427245[[#This Row],[Total Work Hours in Decimals]]-Table2427245[[#This Row],[Total travel time (hr) in a month (22 days)]]/22</f>
        <v>12.666666666666666</v>
      </c>
      <c r="AK2" s="11"/>
    </row>
    <row r="3" spans="1:37" x14ac:dyDescent="0.25">
      <c r="A3" s="11" t="s">
        <v>36</v>
      </c>
      <c r="B3" s="11" t="s">
        <v>37</v>
      </c>
      <c r="C3" s="11" t="s">
        <v>12</v>
      </c>
      <c r="D3" s="11">
        <f>IF(Table2427245[[#This Row],[Workplace Location]]="Taguig",IF(Table2427245[[#This Row],[Marital Status]]="Single",1,0),"na")</f>
        <v>1</v>
      </c>
      <c r="E3" s="11" t="s">
        <v>16</v>
      </c>
      <c r="F3" s="11" t="s">
        <v>38</v>
      </c>
      <c r="H3" s="11" t="s">
        <v>41</v>
      </c>
      <c r="J3" s="11">
        <f>IF(Table2427245[[#This Row],[Location of Residence]]=Table2427245[[#This Row],[Workplace Location]],1,0)</f>
        <v>0</v>
      </c>
      <c r="K3" s="11" cm="1">
        <f t="array" ref="K3">IF(Table2427245[[#This Row],[Workplace Location]]="Taguig",IF(Table2427245[[#This Row],[Location of Residence]]=Table2427245[[#This Row],[Workplace Location]],1,0),null)</f>
        <v>0</v>
      </c>
      <c r="L3" s="6">
        <v>0.33333333333333331</v>
      </c>
      <c r="M3" s="12">
        <v>0.25</v>
      </c>
      <c r="N3" s="12">
        <v>0.33333333333333331</v>
      </c>
      <c r="O3"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8.3333333333333315E-2</v>
      </c>
      <c r="P3" s="14">
        <f>Table2427245[[#This Row],[Travel Time from Home to Work]]*24</f>
        <v>1.9999999999999996</v>
      </c>
      <c r="Q3" s="14">
        <f>IF(Table2427245[[#This Row],[Workplace Location]]="Taguig",Table2427245[[#This Row],[Travel Time from Home to Work in Decimals]],"na")</f>
        <v>1.9999999999999996</v>
      </c>
      <c r="R3" s="23">
        <v>0</v>
      </c>
      <c r="S3" s="23">
        <f>IF(Table2427245[[#This Row],[Workplace Location]]="Taguig",Table2427245[[#This Row],[Travel cost ]],"na")</f>
        <v>0</v>
      </c>
      <c r="T3" s="6">
        <v>0.75</v>
      </c>
      <c r="U3" s="12">
        <v>0.75</v>
      </c>
      <c r="V3" s="12">
        <v>0.875</v>
      </c>
      <c r="W3" s="13">
        <f>IF(Table2427245[[#This Row],[End of Work (time)]]&lt;Table2427245[[#This Row],[Start of Work (time)]],Table2427245[[#This Row],[End of Work (time)]]+24-Table2427245[[#This Row],[Start of Work (time)]],Table2427245[[#This Row],[End of Work (time)]]-Table2427245[[#This Row],[Start of Work (time)]])</f>
        <v>0.41666666666666669</v>
      </c>
      <c r="X3" s="14">
        <f>HOUR(Table2427245[[#This Row],[Total Work Hours]])+MINUTE(Table2427245[[#This Row],[Total Work Hours]])/60</f>
        <v>10</v>
      </c>
      <c r="Y3"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0.125</v>
      </c>
      <c r="Z3" s="16">
        <f>Table2427245[[#This Row],[Travel Time from Work to Home]]*24</f>
        <v>3</v>
      </c>
      <c r="AA3" s="23">
        <v>0</v>
      </c>
      <c r="AB3" s="13">
        <f>Table2427245[[#This Row],[Travel Time from Work to Home]]+Table2427245[[#This Row],[Travel Time from Home to Work]]</f>
        <v>0.20833333333333331</v>
      </c>
      <c r="AC3" s="14">
        <f>HOUR(Table2427245[[#This Row],[Total Travel Time]])+MINUTE(Table2427245[[#This Row],[Total Travel Time]])/60</f>
        <v>5</v>
      </c>
      <c r="AD3" s="17">
        <f>Table2427245[[#This Row],[Total travel time in hr]]/(Table2427245[[#This Row],[Total travel time in hr]]+HOUR(Table2427245[[#This Row],[Total Work Hours]])+MINUTE(Table2427245[[#This Row],[Total Work Hours]])/60)</f>
        <v>0.33333333333333331</v>
      </c>
      <c r="AE3" s="7">
        <f>Table2427245[[#This Row],[Total travel time in hr]]/24</f>
        <v>0.20833333333333334</v>
      </c>
      <c r="AF3" s="8">
        <f>Table2427245[[#This Row],[Total travel time in hr]]*22</f>
        <v>110</v>
      </c>
      <c r="AG3" s="8">
        <f>Table2427245[[#This Row],[Total travel time (hr) in a month (22 days)]]/24</f>
        <v>4.583333333333333</v>
      </c>
      <c r="AH3" s="9">
        <f>Table2427245[[#This Row],[Travel cost]]+Table2427245[[#This Row],[Travel cost ]]</f>
        <v>0</v>
      </c>
      <c r="AI3" s="9">
        <f>Table2427245[[#This Row],[Total Cost]]*22</f>
        <v>0</v>
      </c>
      <c r="AJ3" s="8">
        <f>24-Table2427245[[#This Row],[Total Work Hours in Decimals]]-Table2427245[[#This Row],[Total travel time (hr) in a month (22 days)]]/22</f>
        <v>9</v>
      </c>
      <c r="AK3" s="11"/>
    </row>
    <row r="4" spans="1:37" x14ac:dyDescent="0.25">
      <c r="A4" s="11" t="s">
        <v>36</v>
      </c>
      <c r="B4" s="11" t="s">
        <v>37</v>
      </c>
      <c r="C4" s="11" t="s">
        <v>12</v>
      </c>
      <c r="D4" s="11" t="str">
        <f>IF(Table2427245[[#This Row],[Workplace Location]]="Taguig",IF(Table2427245[[#This Row],[Marital Status]]="Single",1,0),"na")</f>
        <v>na</v>
      </c>
      <c r="E4" s="11" t="s">
        <v>16</v>
      </c>
      <c r="F4" s="11" t="s">
        <v>56</v>
      </c>
      <c r="H4" s="11" t="s">
        <v>46</v>
      </c>
      <c r="J4" s="11">
        <f>IF(Table2427245[[#This Row],[Location of Residence]]=Table2427245[[#This Row],[Workplace Location]],1,0)</f>
        <v>0</v>
      </c>
      <c r="K4" s="11" t="e" cm="1">
        <f t="array" ref="K4">IF(Table2427245[[#This Row],[Workplace Location]]="Taguig",IF(Table2427245[[#This Row],[Location of Residence]]=Table2427245[[#This Row],[Workplace Location]],1,0),null)</f>
        <v>#NAME?</v>
      </c>
      <c r="L4" s="6">
        <v>0.25</v>
      </c>
      <c r="M4" s="12">
        <v>0.20833333333333334</v>
      </c>
      <c r="N4" s="12">
        <v>0.22916666666666666</v>
      </c>
      <c r="O4"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2.0833333333333315E-2</v>
      </c>
      <c r="P4" s="14">
        <f>Table2427245[[#This Row],[Travel Time from Home to Work]]*24</f>
        <v>0.49999999999999956</v>
      </c>
      <c r="Q4" s="14" t="str">
        <f>IF(Table2427245[[#This Row],[Workplace Location]]="Taguig",Table2427245[[#This Row],[Travel Time from Home to Work in Decimals]],"na")</f>
        <v>na</v>
      </c>
      <c r="R4" s="23">
        <v>19</v>
      </c>
      <c r="S4" s="23" t="str">
        <f>IF(Table2427245[[#This Row],[Workplace Location]]="Taguig",Table2427245[[#This Row],[Travel cost ]],"na")</f>
        <v>na</v>
      </c>
      <c r="T4" s="6">
        <v>0.58333333333333337</v>
      </c>
      <c r="U4" s="12">
        <v>0.58333333333333337</v>
      </c>
      <c r="V4" s="12">
        <v>0.625</v>
      </c>
      <c r="W4" s="13">
        <f>IF(Table2427245[[#This Row],[End of Work (time)]]&lt;Table2427245[[#This Row],[Start of Work (time)]],Table2427245[[#This Row],[End of Work (time)]]+24-Table2427245[[#This Row],[Start of Work (time)]],Table2427245[[#This Row],[End of Work (time)]]-Table2427245[[#This Row],[Start of Work (time)]])</f>
        <v>0.33333333333333337</v>
      </c>
      <c r="X4" s="14">
        <f>HOUR(Table2427245[[#This Row],[Total Work Hours]])+MINUTE(Table2427245[[#This Row],[Total Work Hours]])/60</f>
        <v>8</v>
      </c>
      <c r="Y4"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4.166666666666663E-2</v>
      </c>
      <c r="Z4" s="16">
        <f>Table2427245[[#This Row],[Travel Time from Work to Home]]*24</f>
        <v>0.99999999999999911</v>
      </c>
      <c r="AA4" s="23">
        <v>30</v>
      </c>
      <c r="AB4" s="13">
        <f>Table2427245[[#This Row],[Travel Time from Work to Home]]+Table2427245[[#This Row],[Travel Time from Home to Work]]</f>
        <v>6.2499999999999944E-2</v>
      </c>
      <c r="AC4" s="14">
        <f>HOUR(Table2427245[[#This Row],[Total Travel Time]])+MINUTE(Table2427245[[#This Row],[Total Travel Time]])/60</f>
        <v>1.5</v>
      </c>
      <c r="AD4" s="17">
        <f>Table2427245[[#This Row],[Total travel time in hr]]/(Table2427245[[#This Row],[Total travel time in hr]]+HOUR(Table2427245[[#This Row],[Total Work Hours]])+MINUTE(Table2427245[[#This Row],[Total Work Hours]])/60)</f>
        <v>0.15789473684210525</v>
      </c>
      <c r="AE4" s="7">
        <f>Table2427245[[#This Row],[Total travel time in hr]]/24</f>
        <v>6.25E-2</v>
      </c>
      <c r="AF4" s="8">
        <f>Table2427245[[#This Row],[Total travel time in hr]]*22</f>
        <v>33</v>
      </c>
      <c r="AG4" s="8">
        <f>Table2427245[[#This Row],[Total travel time (hr) in a month (22 days)]]/24</f>
        <v>1.375</v>
      </c>
      <c r="AH4" s="9">
        <f>Table2427245[[#This Row],[Travel cost]]+Table2427245[[#This Row],[Travel cost ]]</f>
        <v>49</v>
      </c>
      <c r="AI4" s="9">
        <f>Table2427245[[#This Row],[Total Cost]]*22</f>
        <v>1078</v>
      </c>
      <c r="AJ4" s="8">
        <f>24-Table2427245[[#This Row],[Total Work Hours in Decimals]]-Table2427245[[#This Row],[Total travel time (hr) in a month (22 days)]]/22</f>
        <v>14.5</v>
      </c>
      <c r="AK4" s="11"/>
    </row>
    <row r="5" spans="1:37" x14ac:dyDescent="0.25">
      <c r="A5" s="11" t="s">
        <v>36</v>
      </c>
      <c r="B5" s="11" t="s">
        <v>37</v>
      </c>
      <c r="C5" s="11" t="s">
        <v>12</v>
      </c>
      <c r="D5" s="11" t="str">
        <f>IF(Table2427245[[#This Row],[Workplace Location]]="Taguig",IF(Table2427245[[#This Row],[Marital Status]]="Single",1,0),"na")</f>
        <v>na</v>
      </c>
      <c r="E5" s="11" t="s">
        <v>16</v>
      </c>
      <c r="F5" s="11" t="s">
        <v>39</v>
      </c>
      <c r="H5" s="11" t="s">
        <v>39</v>
      </c>
      <c r="J5" s="11">
        <f>IF(Table2427245[[#This Row],[Location of Residence]]=Table2427245[[#This Row],[Workplace Location]],1,0)</f>
        <v>1</v>
      </c>
      <c r="K5" s="11" t="e" cm="1">
        <f t="array" ref="K5">IF(Table2427245[[#This Row],[Workplace Location]]="Taguig",IF(Table2427245[[#This Row],[Location of Residence]]=Table2427245[[#This Row],[Workplace Location]],1,0),null)</f>
        <v>#NAME?</v>
      </c>
      <c r="L5" s="6">
        <v>0.41666666666666669</v>
      </c>
      <c r="M5" s="12">
        <v>0.39583333333333331</v>
      </c>
      <c r="N5" s="12">
        <v>0.41666666666666669</v>
      </c>
      <c r="O5"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2.083333333333337E-2</v>
      </c>
      <c r="P5" s="14">
        <f>Table2427245[[#This Row],[Travel Time from Home to Work]]*24</f>
        <v>0.50000000000000089</v>
      </c>
      <c r="Q5" s="14" t="str">
        <f>IF(Table2427245[[#This Row],[Workplace Location]]="Taguig",Table2427245[[#This Row],[Travel Time from Home to Work in Decimals]],"na")</f>
        <v>na</v>
      </c>
      <c r="R5" s="23">
        <v>9</v>
      </c>
      <c r="S5" s="23" t="str">
        <f>IF(Table2427245[[#This Row],[Workplace Location]]="Taguig",Table2427245[[#This Row],[Travel cost ]],"na")</f>
        <v>na</v>
      </c>
      <c r="T5" s="6">
        <v>0.77083333333333337</v>
      </c>
      <c r="U5" s="12">
        <v>0.77083333333333337</v>
      </c>
      <c r="V5" s="12">
        <v>0.83333333333333337</v>
      </c>
      <c r="W5" s="13">
        <f>IF(Table2427245[[#This Row],[End of Work (time)]]&lt;Table2427245[[#This Row],[Start of Work (time)]],Table2427245[[#This Row],[End of Work (time)]]+24-Table2427245[[#This Row],[Start of Work (time)]],Table2427245[[#This Row],[End of Work (time)]]-Table2427245[[#This Row],[Start of Work (time)]])</f>
        <v>0.35416666666666669</v>
      </c>
      <c r="X5" s="14">
        <f>HOUR(Table2427245[[#This Row],[Total Work Hours]])+MINUTE(Table2427245[[#This Row],[Total Work Hours]])/60</f>
        <v>8.5</v>
      </c>
      <c r="Y5"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6.25E-2</v>
      </c>
      <c r="Z5" s="16">
        <f>Table2427245[[#This Row],[Travel Time from Work to Home]]*24</f>
        <v>1.5</v>
      </c>
      <c r="AA5" s="23">
        <v>18</v>
      </c>
      <c r="AB5" s="13">
        <f>Table2427245[[#This Row],[Travel Time from Work to Home]]+Table2427245[[#This Row],[Travel Time from Home to Work]]</f>
        <v>8.333333333333337E-2</v>
      </c>
      <c r="AC5" s="14">
        <f>HOUR(Table2427245[[#This Row],[Total Travel Time]])+MINUTE(Table2427245[[#This Row],[Total Travel Time]])/60</f>
        <v>2</v>
      </c>
      <c r="AD5" s="17">
        <f>Table2427245[[#This Row],[Total travel time in hr]]/(Table2427245[[#This Row],[Total travel time in hr]]+HOUR(Table2427245[[#This Row],[Total Work Hours]])+MINUTE(Table2427245[[#This Row],[Total Work Hours]])/60)</f>
        <v>0.19047619047619047</v>
      </c>
      <c r="AE5" s="7">
        <f>Table2427245[[#This Row],[Total travel time in hr]]/24</f>
        <v>8.3333333333333329E-2</v>
      </c>
      <c r="AF5" s="8">
        <f>Table2427245[[#This Row],[Total travel time in hr]]*22</f>
        <v>44</v>
      </c>
      <c r="AG5" s="8">
        <f>Table2427245[[#This Row],[Total travel time (hr) in a month (22 days)]]/24</f>
        <v>1.8333333333333333</v>
      </c>
      <c r="AH5" s="9">
        <f>Table2427245[[#This Row],[Travel cost]]+Table2427245[[#This Row],[Travel cost ]]</f>
        <v>27</v>
      </c>
      <c r="AI5" s="9">
        <f>Table2427245[[#This Row],[Total Cost]]*22</f>
        <v>594</v>
      </c>
      <c r="AJ5" s="8">
        <f>24-Table2427245[[#This Row],[Total Work Hours in Decimals]]-Table2427245[[#This Row],[Total travel time (hr) in a month (22 days)]]/22</f>
        <v>13.5</v>
      </c>
      <c r="AK5" s="11"/>
    </row>
    <row r="6" spans="1:37" x14ac:dyDescent="0.25">
      <c r="A6" s="11" t="s">
        <v>36</v>
      </c>
      <c r="B6" s="11" t="s">
        <v>37</v>
      </c>
      <c r="C6" s="11" t="s">
        <v>12</v>
      </c>
      <c r="D6" s="11" t="str">
        <f>IF(Table2427245[[#This Row],[Workplace Location]]="Taguig",IF(Table2427245[[#This Row],[Marital Status]]="Single",1,0),"na")</f>
        <v>na</v>
      </c>
      <c r="E6" s="11" t="s">
        <v>15</v>
      </c>
      <c r="F6" s="11" t="s">
        <v>39</v>
      </c>
      <c r="H6" s="11" t="s">
        <v>39</v>
      </c>
      <c r="J6" s="11">
        <f>IF(Table2427245[[#This Row],[Location of Residence]]=Table2427245[[#This Row],[Workplace Location]],1,0)</f>
        <v>1</v>
      </c>
      <c r="K6" s="11" t="e" cm="1">
        <f t="array" ref="K6">IF(Table2427245[[#This Row],[Workplace Location]]="Taguig",IF(Table2427245[[#This Row],[Location of Residence]]=Table2427245[[#This Row],[Workplace Location]],1,0),null)</f>
        <v>#NAME?</v>
      </c>
      <c r="L6" s="6">
        <v>0.38541666666666669</v>
      </c>
      <c r="M6" s="12">
        <v>0.36458333333333331</v>
      </c>
      <c r="N6" s="12">
        <v>0.375</v>
      </c>
      <c r="O6"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1.0416666666666685E-2</v>
      </c>
      <c r="P6" s="14">
        <f>Table2427245[[#This Row],[Travel Time from Home to Work]]*24</f>
        <v>0.25000000000000044</v>
      </c>
      <c r="Q6" s="14" t="str">
        <f>IF(Table2427245[[#This Row],[Workplace Location]]="Taguig",Table2427245[[#This Row],[Travel Time from Home to Work in Decimals]],"na")</f>
        <v>na</v>
      </c>
      <c r="R6" s="23">
        <v>13</v>
      </c>
      <c r="S6" s="23" t="str">
        <f>IF(Table2427245[[#This Row],[Workplace Location]]="Taguig",Table2427245[[#This Row],[Travel cost ]],"na")</f>
        <v>na</v>
      </c>
      <c r="T6" s="6">
        <v>0.83333333333333337</v>
      </c>
      <c r="U6" s="12">
        <v>0.83333333333333337</v>
      </c>
      <c r="V6" s="12">
        <v>0.85416666666666663</v>
      </c>
      <c r="W6" s="13">
        <f>IF(Table2427245[[#This Row],[End of Work (time)]]&lt;Table2427245[[#This Row],[Start of Work (time)]],Table2427245[[#This Row],[End of Work (time)]]+24-Table2427245[[#This Row],[Start of Work (time)]],Table2427245[[#This Row],[End of Work (time)]]-Table2427245[[#This Row],[Start of Work (time)]])</f>
        <v>0.44791666666666669</v>
      </c>
      <c r="X6" s="14">
        <f>HOUR(Table2427245[[#This Row],[Total Work Hours]])+MINUTE(Table2427245[[#This Row],[Total Work Hours]])/60</f>
        <v>10.75</v>
      </c>
      <c r="Y6"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2.0833333333333259E-2</v>
      </c>
      <c r="Z6" s="16">
        <f>Table2427245[[#This Row],[Travel Time from Work to Home]]*24</f>
        <v>0.49999999999999822</v>
      </c>
      <c r="AA6" s="23">
        <v>13</v>
      </c>
      <c r="AB6" s="13">
        <f>Table2427245[[#This Row],[Travel Time from Work to Home]]+Table2427245[[#This Row],[Travel Time from Home to Work]]</f>
        <v>3.1249999999999944E-2</v>
      </c>
      <c r="AC6" s="14">
        <f>HOUR(Table2427245[[#This Row],[Total Travel Time]])+MINUTE(Table2427245[[#This Row],[Total Travel Time]])/60</f>
        <v>0.75</v>
      </c>
      <c r="AD6" s="17">
        <f>Table2427245[[#This Row],[Total travel time in hr]]/(Table2427245[[#This Row],[Total travel time in hr]]+HOUR(Table2427245[[#This Row],[Total Work Hours]])+MINUTE(Table2427245[[#This Row],[Total Work Hours]])/60)</f>
        <v>6.5217391304347824E-2</v>
      </c>
      <c r="AE6" s="7">
        <f>Table2427245[[#This Row],[Total travel time in hr]]/24</f>
        <v>3.125E-2</v>
      </c>
      <c r="AF6" s="8">
        <f>Table2427245[[#This Row],[Total travel time in hr]]*22</f>
        <v>16.5</v>
      </c>
      <c r="AG6" s="8">
        <f>Table2427245[[#This Row],[Total travel time (hr) in a month (22 days)]]/24</f>
        <v>0.6875</v>
      </c>
      <c r="AH6" s="9">
        <f>Table2427245[[#This Row],[Travel cost]]+Table2427245[[#This Row],[Travel cost ]]</f>
        <v>26</v>
      </c>
      <c r="AI6" s="9">
        <f>Table2427245[[#This Row],[Total Cost]]*22</f>
        <v>572</v>
      </c>
      <c r="AJ6" s="8">
        <f>24-Table2427245[[#This Row],[Total Work Hours in Decimals]]-Table2427245[[#This Row],[Total travel time (hr) in a month (22 days)]]/22</f>
        <v>12.5</v>
      </c>
      <c r="AK6" s="11"/>
    </row>
    <row r="7" spans="1:37" x14ac:dyDescent="0.25">
      <c r="A7" s="11" t="s">
        <v>36</v>
      </c>
      <c r="B7" s="11" t="s">
        <v>40</v>
      </c>
      <c r="C7" s="11" t="s">
        <v>12</v>
      </c>
      <c r="D7" s="11" t="str">
        <f>IF(Table2427245[[#This Row],[Workplace Location]]="Taguig",IF(Table2427245[[#This Row],[Marital Status]]="Single",1,0),"na")</f>
        <v>na</v>
      </c>
      <c r="E7" s="11" t="s">
        <v>16</v>
      </c>
      <c r="F7" s="11" t="s">
        <v>39</v>
      </c>
      <c r="H7" s="11" t="s">
        <v>39</v>
      </c>
      <c r="J7" s="11">
        <f>IF(Table2427245[[#This Row],[Location of Residence]]=Table2427245[[#This Row],[Workplace Location]],1,0)</f>
        <v>1</v>
      </c>
      <c r="K7" s="11" t="e" cm="1">
        <f t="array" ref="K7">IF(Table2427245[[#This Row],[Workplace Location]]="Taguig",IF(Table2427245[[#This Row],[Location of Residence]]=Table2427245[[#This Row],[Workplace Location]],1,0),null)</f>
        <v>#NAME?</v>
      </c>
      <c r="L7" s="6">
        <v>0.33333333333333331</v>
      </c>
      <c r="M7" s="12">
        <v>0.3125</v>
      </c>
      <c r="N7" s="12">
        <v>0.32291666666666669</v>
      </c>
      <c r="O7"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1.0416666666666685E-2</v>
      </c>
      <c r="P7" s="14">
        <f>Table2427245[[#This Row],[Travel Time from Home to Work]]*24</f>
        <v>0.25000000000000044</v>
      </c>
      <c r="Q7" s="14" t="str">
        <f>IF(Table2427245[[#This Row],[Workplace Location]]="Taguig",Table2427245[[#This Row],[Travel Time from Home to Work in Decimals]],"na")</f>
        <v>na</v>
      </c>
      <c r="R7" s="23">
        <v>8</v>
      </c>
      <c r="S7" s="23" t="str">
        <f>IF(Table2427245[[#This Row],[Workplace Location]]="Taguig",Table2427245[[#This Row],[Travel cost ]],"na")</f>
        <v>na</v>
      </c>
      <c r="T7" s="6">
        <v>0.70833333333333337</v>
      </c>
      <c r="U7" s="12">
        <v>0.72916666666666663</v>
      </c>
      <c r="V7" s="12">
        <v>0.79166666666666663</v>
      </c>
      <c r="W7" s="13">
        <f>IF(Table2427245[[#This Row],[End of Work (time)]]&lt;Table2427245[[#This Row],[Start of Work (time)]],Table2427245[[#This Row],[End of Work (time)]]+24-Table2427245[[#This Row],[Start of Work (time)]],Table2427245[[#This Row],[End of Work (time)]]-Table2427245[[#This Row],[Start of Work (time)]])</f>
        <v>0.37500000000000006</v>
      </c>
      <c r="X7" s="14">
        <f>HOUR(Table2427245[[#This Row],[Total Work Hours]])+MINUTE(Table2427245[[#This Row],[Total Work Hours]])/60</f>
        <v>9</v>
      </c>
      <c r="Y7"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6.25E-2</v>
      </c>
      <c r="Z7" s="16">
        <f>Table2427245[[#This Row],[Travel Time from Work to Home]]*24</f>
        <v>1.5</v>
      </c>
      <c r="AA7" s="23">
        <v>8</v>
      </c>
      <c r="AB7" s="13">
        <f>Table2427245[[#This Row],[Travel Time from Work to Home]]+Table2427245[[#This Row],[Travel Time from Home to Work]]</f>
        <v>7.2916666666666685E-2</v>
      </c>
      <c r="AC7" s="14">
        <f>HOUR(Table2427245[[#This Row],[Total Travel Time]])+MINUTE(Table2427245[[#This Row],[Total Travel Time]])/60</f>
        <v>1.75</v>
      </c>
      <c r="AD7" s="17">
        <f>Table2427245[[#This Row],[Total travel time in hr]]/(Table2427245[[#This Row],[Total travel time in hr]]+HOUR(Table2427245[[#This Row],[Total Work Hours]])+MINUTE(Table2427245[[#This Row],[Total Work Hours]])/60)</f>
        <v>0.16279069767441862</v>
      </c>
      <c r="AE7" s="7">
        <f>Table2427245[[#This Row],[Total travel time in hr]]/24</f>
        <v>7.2916666666666671E-2</v>
      </c>
      <c r="AF7" s="8">
        <f>Table2427245[[#This Row],[Total travel time in hr]]*22</f>
        <v>38.5</v>
      </c>
      <c r="AG7" s="8">
        <f>Table2427245[[#This Row],[Total travel time (hr) in a month (22 days)]]/24</f>
        <v>1.6041666666666667</v>
      </c>
      <c r="AH7" s="9">
        <f>Table2427245[[#This Row],[Travel cost]]+Table2427245[[#This Row],[Travel cost ]]</f>
        <v>16</v>
      </c>
      <c r="AI7" s="9">
        <f>Table2427245[[#This Row],[Total Cost]]*22</f>
        <v>352</v>
      </c>
      <c r="AJ7" s="8">
        <f>24-Table2427245[[#This Row],[Total Work Hours in Decimals]]-Table2427245[[#This Row],[Total travel time (hr) in a month (22 days)]]/22</f>
        <v>13.25</v>
      </c>
      <c r="AK7" s="11"/>
    </row>
    <row r="8" spans="1:37" x14ac:dyDescent="0.25">
      <c r="A8" s="11" t="s">
        <v>36</v>
      </c>
      <c r="B8" s="11" t="s">
        <v>40</v>
      </c>
      <c r="C8" s="11" t="s">
        <v>12</v>
      </c>
      <c r="D8" s="11" t="str">
        <f>IF(Table2427245[[#This Row],[Workplace Location]]="Taguig",IF(Table2427245[[#This Row],[Marital Status]]="Single",1,0),"na")</f>
        <v>na</v>
      </c>
      <c r="E8" s="11" t="s">
        <v>16</v>
      </c>
      <c r="F8" s="11" t="s">
        <v>39</v>
      </c>
      <c r="H8" s="11" t="s">
        <v>46</v>
      </c>
      <c r="J8" s="11">
        <f>IF(Table2427245[[#This Row],[Location of Residence]]=Table2427245[[#This Row],[Workplace Location]],1,0)</f>
        <v>0</v>
      </c>
      <c r="K8" s="11" t="e" cm="1">
        <f t="array" ref="K8">IF(Table2427245[[#This Row],[Workplace Location]]="Taguig",IF(Table2427245[[#This Row],[Location of Residence]]=Table2427245[[#This Row],[Workplace Location]],1,0),null)</f>
        <v>#NAME?</v>
      </c>
      <c r="L8" s="6">
        <v>0.25</v>
      </c>
      <c r="M8" s="12">
        <v>0.1875</v>
      </c>
      <c r="N8" s="12">
        <v>0.27083333333333331</v>
      </c>
      <c r="O8"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8.3333333333333315E-2</v>
      </c>
      <c r="P8" s="14">
        <f>Table2427245[[#This Row],[Travel Time from Home to Work]]*24</f>
        <v>1.9999999999999996</v>
      </c>
      <c r="Q8" s="14" t="str">
        <f>IF(Table2427245[[#This Row],[Workplace Location]]="Taguig",Table2427245[[#This Row],[Travel Time from Home to Work in Decimals]],"na")</f>
        <v>na</v>
      </c>
      <c r="R8" s="23">
        <v>100</v>
      </c>
      <c r="S8" s="23" t="str">
        <f>IF(Table2427245[[#This Row],[Workplace Location]]="Taguig",Table2427245[[#This Row],[Travel cost ]],"na")</f>
        <v>na</v>
      </c>
      <c r="T8" s="6">
        <v>0.6875</v>
      </c>
      <c r="U8" s="12">
        <v>0.66666666666666663</v>
      </c>
      <c r="V8" s="12">
        <v>0.75</v>
      </c>
      <c r="W8" s="13">
        <f>IF(Table2427245[[#This Row],[End of Work (time)]]&lt;Table2427245[[#This Row],[Start of Work (time)]],Table2427245[[#This Row],[End of Work (time)]]+24-Table2427245[[#This Row],[Start of Work (time)]],Table2427245[[#This Row],[End of Work (time)]]-Table2427245[[#This Row],[Start of Work (time)]])</f>
        <v>0.4375</v>
      </c>
      <c r="X8" s="14">
        <f>HOUR(Table2427245[[#This Row],[Total Work Hours]])+MINUTE(Table2427245[[#This Row],[Total Work Hours]])/60</f>
        <v>10.5</v>
      </c>
      <c r="Y8"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8.333333333333337E-2</v>
      </c>
      <c r="Z8" s="16">
        <f>Table2427245[[#This Row],[Travel Time from Work to Home]]*24</f>
        <v>2.0000000000000009</v>
      </c>
      <c r="AA8" s="23">
        <v>100</v>
      </c>
      <c r="AB8" s="13">
        <f>Table2427245[[#This Row],[Travel Time from Work to Home]]+Table2427245[[#This Row],[Travel Time from Home to Work]]</f>
        <v>0.16666666666666669</v>
      </c>
      <c r="AC8" s="14">
        <f>HOUR(Table2427245[[#This Row],[Total Travel Time]])+MINUTE(Table2427245[[#This Row],[Total Travel Time]])/60</f>
        <v>4</v>
      </c>
      <c r="AD8" s="17">
        <f>Table2427245[[#This Row],[Total travel time in hr]]/(Table2427245[[#This Row],[Total travel time in hr]]+HOUR(Table2427245[[#This Row],[Total Work Hours]])+MINUTE(Table2427245[[#This Row],[Total Work Hours]])/60)</f>
        <v>0.27586206896551724</v>
      </c>
      <c r="AE8" s="7">
        <f>Table2427245[[#This Row],[Total travel time in hr]]/24</f>
        <v>0.16666666666666666</v>
      </c>
      <c r="AF8" s="8">
        <f>Table2427245[[#This Row],[Total travel time in hr]]*22</f>
        <v>88</v>
      </c>
      <c r="AG8" s="8">
        <f>Table2427245[[#This Row],[Total travel time (hr) in a month (22 days)]]/24</f>
        <v>3.6666666666666665</v>
      </c>
      <c r="AH8" s="9">
        <f>Table2427245[[#This Row],[Travel cost]]+Table2427245[[#This Row],[Travel cost ]]</f>
        <v>200</v>
      </c>
      <c r="AI8" s="9">
        <f>Table2427245[[#This Row],[Total Cost]]*22</f>
        <v>4400</v>
      </c>
      <c r="AJ8" s="8">
        <f>24-Table2427245[[#This Row],[Total Work Hours in Decimals]]-Table2427245[[#This Row],[Total travel time (hr) in a month (22 days)]]/22</f>
        <v>9.5</v>
      </c>
      <c r="AK8" s="11"/>
    </row>
    <row r="9" spans="1:37" x14ac:dyDescent="0.25">
      <c r="A9" s="11" t="s">
        <v>36</v>
      </c>
      <c r="B9" s="11" t="s">
        <v>37</v>
      </c>
      <c r="C9" s="11" t="s">
        <v>12</v>
      </c>
      <c r="D9" s="11">
        <f>IF(Table2427245[[#This Row],[Workplace Location]]="Taguig",IF(Table2427245[[#This Row],[Marital Status]]="Single",1,0),"na")</f>
        <v>1</v>
      </c>
      <c r="E9" s="11" t="s">
        <v>16</v>
      </c>
      <c r="F9" s="11" t="s">
        <v>39</v>
      </c>
      <c r="H9" s="11" t="s">
        <v>41</v>
      </c>
      <c r="J9" s="11">
        <f>IF(Table2427245[[#This Row],[Location of Residence]]=Table2427245[[#This Row],[Workplace Location]],1,0)</f>
        <v>0</v>
      </c>
      <c r="K9" s="11" cm="1">
        <f t="array" ref="K9">IF(Table2427245[[#This Row],[Workplace Location]]="Taguig",IF(Table2427245[[#This Row],[Location of Residence]]=Table2427245[[#This Row],[Workplace Location]],1,0),null)</f>
        <v>0</v>
      </c>
      <c r="L9" s="6">
        <v>0.375</v>
      </c>
      <c r="M9" s="12">
        <v>0.3125</v>
      </c>
      <c r="N9" s="12">
        <v>0.36458333333333331</v>
      </c>
      <c r="O9"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5.2083333333333315E-2</v>
      </c>
      <c r="P9" s="14">
        <f>Table2427245[[#This Row],[Travel Time from Home to Work]]*24</f>
        <v>1.2499999999999996</v>
      </c>
      <c r="Q9" s="14">
        <f>IF(Table2427245[[#This Row],[Workplace Location]]="Taguig",Table2427245[[#This Row],[Travel Time from Home to Work in Decimals]],"na")</f>
        <v>1.2499999999999996</v>
      </c>
      <c r="R9" s="23">
        <v>18</v>
      </c>
      <c r="S9" s="23">
        <f>IF(Table2427245[[#This Row],[Workplace Location]]="Taguig",Table2427245[[#This Row],[Travel cost ]],"na")</f>
        <v>18</v>
      </c>
      <c r="T9" s="6">
        <v>0.79166666666666663</v>
      </c>
      <c r="U9" s="12">
        <v>0.79166666666666663</v>
      </c>
      <c r="V9" s="12">
        <v>0.85416666666666663</v>
      </c>
      <c r="W9" s="13">
        <f>IF(Table2427245[[#This Row],[End of Work (time)]]&lt;Table2427245[[#This Row],[Start of Work (time)]],Table2427245[[#This Row],[End of Work (time)]]+24-Table2427245[[#This Row],[Start of Work (time)]],Table2427245[[#This Row],[End of Work (time)]]-Table2427245[[#This Row],[Start of Work (time)]])</f>
        <v>0.41666666666666663</v>
      </c>
      <c r="X9" s="14">
        <f>HOUR(Table2427245[[#This Row],[Total Work Hours]])+MINUTE(Table2427245[[#This Row],[Total Work Hours]])/60</f>
        <v>10</v>
      </c>
      <c r="Y9"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6.25E-2</v>
      </c>
      <c r="Z9" s="16">
        <f>Table2427245[[#This Row],[Travel Time from Work to Home]]*24</f>
        <v>1.5</v>
      </c>
      <c r="AA9" s="23">
        <v>18</v>
      </c>
      <c r="AB9" s="13">
        <f>Table2427245[[#This Row],[Travel Time from Work to Home]]+Table2427245[[#This Row],[Travel Time from Home to Work]]</f>
        <v>0.11458333333333331</v>
      </c>
      <c r="AC9" s="14">
        <f>HOUR(Table2427245[[#This Row],[Total Travel Time]])+MINUTE(Table2427245[[#This Row],[Total Travel Time]])/60</f>
        <v>2.75</v>
      </c>
      <c r="AD9" s="17">
        <f>Table2427245[[#This Row],[Total travel time in hr]]/(Table2427245[[#This Row],[Total travel time in hr]]+HOUR(Table2427245[[#This Row],[Total Work Hours]])+MINUTE(Table2427245[[#This Row],[Total Work Hours]])/60)</f>
        <v>0.21568627450980393</v>
      </c>
      <c r="AE9" s="7">
        <f>Table2427245[[#This Row],[Total travel time in hr]]/24</f>
        <v>0.11458333333333333</v>
      </c>
      <c r="AF9" s="8">
        <f>Table2427245[[#This Row],[Total travel time in hr]]*22</f>
        <v>60.5</v>
      </c>
      <c r="AG9" s="8">
        <f>Table2427245[[#This Row],[Total travel time (hr) in a month (22 days)]]/24</f>
        <v>2.5208333333333335</v>
      </c>
      <c r="AH9" s="9">
        <f>Table2427245[[#This Row],[Travel cost]]+Table2427245[[#This Row],[Travel cost ]]</f>
        <v>36</v>
      </c>
      <c r="AI9" s="9">
        <f>Table2427245[[#This Row],[Total Cost]]*22</f>
        <v>792</v>
      </c>
      <c r="AJ9" s="8">
        <f>24-Table2427245[[#This Row],[Total Work Hours in Decimals]]-Table2427245[[#This Row],[Total travel time (hr) in a month (22 days)]]/22</f>
        <v>11.25</v>
      </c>
      <c r="AK9" s="11"/>
    </row>
    <row r="10" spans="1:37" x14ac:dyDescent="0.25">
      <c r="A10" s="11" t="s">
        <v>36</v>
      </c>
      <c r="B10" s="11" t="s">
        <v>40</v>
      </c>
      <c r="C10" s="11" t="s">
        <v>12</v>
      </c>
      <c r="D10" s="11">
        <f>IF(Table2427245[[#This Row],[Workplace Location]]="Taguig",IF(Table2427245[[#This Row],[Marital Status]]="Single",1,0),"na")</f>
        <v>1</v>
      </c>
      <c r="E10" s="11" t="s">
        <v>16</v>
      </c>
      <c r="F10" s="11" t="s">
        <v>39</v>
      </c>
      <c r="H10" s="11" t="s">
        <v>41</v>
      </c>
      <c r="J10" s="11">
        <f>IF(Table2427245[[#This Row],[Location of Residence]]=Table2427245[[#This Row],[Workplace Location]],1,0)</f>
        <v>0</v>
      </c>
      <c r="K10" s="11" cm="1">
        <f t="array" ref="K10">IF(Table2427245[[#This Row],[Workplace Location]]="Taguig",IF(Table2427245[[#This Row],[Location of Residence]]=Table2427245[[#This Row],[Workplace Location]],1,0),null)</f>
        <v>0</v>
      </c>
      <c r="L10" s="6">
        <v>0.58333333333333337</v>
      </c>
      <c r="M10" s="12">
        <v>0.5625</v>
      </c>
      <c r="N10" s="12">
        <v>0.58333333333333337</v>
      </c>
      <c r="O10"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2.083333333333337E-2</v>
      </c>
      <c r="P10" s="14">
        <f>Table2427245[[#This Row],[Travel Time from Home to Work]]*24</f>
        <v>0.50000000000000089</v>
      </c>
      <c r="Q10" s="14">
        <f>IF(Table2427245[[#This Row],[Workplace Location]]="Taguig",Table2427245[[#This Row],[Travel Time from Home to Work in Decimals]],"na")</f>
        <v>0.50000000000000089</v>
      </c>
      <c r="R10" s="23">
        <v>0</v>
      </c>
      <c r="S10" s="23">
        <f>IF(Table2427245[[#This Row],[Workplace Location]]="Taguig",Table2427245[[#This Row],[Travel cost ]],"na")</f>
        <v>0</v>
      </c>
      <c r="T10" s="6">
        <v>2.0833333333333332E-2</v>
      </c>
      <c r="U10" s="12">
        <v>2.0833333333333332E-2</v>
      </c>
      <c r="V10" s="12">
        <v>4.1666666666666664E-2</v>
      </c>
      <c r="W10" s="13">
        <f>IF(Table2427245[[#This Row],[End of Work (time)]]&lt;Table2427245[[#This Row],[Start of Work (time)]],Table2427245[[#This Row],[End of Work (time)]]+24-Table2427245[[#This Row],[Start of Work (time)]],Table2427245[[#This Row],[End of Work (time)]]-Table2427245[[#This Row],[Start of Work (time)]])</f>
        <v>23.4375</v>
      </c>
      <c r="X10" s="14">
        <f>HOUR(Table2427245[[#This Row],[Total Work Hours]])+MINUTE(Table2427245[[#This Row],[Total Work Hours]])/60</f>
        <v>10.5</v>
      </c>
      <c r="Y10"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2.0833333333333332E-2</v>
      </c>
      <c r="Z10" s="16">
        <f>Table2427245[[#This Row],[Travel Time from Work to Home]]*24</f>
        <v>0.5</v>
      </c>
      <c r="AA10" s="23">
        <v>0</v>
      </c>
      <c r="AB10" s="13">
        <f>Table2427245[[#This Row],[Travel Time from Work to Home]]+Table2427245[[#This Row],[Travel Time from Home to Work]]</f>
        <v>4.1666666666666699E-2</v>
      </c>
      <c r="AC10" s="14">
        <f>HOUR(Table2427245[[#This Row],[Total Travel Time]])+MINUTE(Table2427245[[#This Row],[Total Travel Time]])/60</f>
        <v>1</v>
      </c>
      <c r="AD10" s="17">
        <f>Table2427245[[#This Row],[Total travel time in hr]]/(Table2427245[[#This Row],[Total travel time in hr]]+HOUR(Table2427245[[#This Row],[Total Work Hours]])+MINUTE(Table2427245[[#This Row],[Total Work Hours]])/60)</f>
        <v>8.6956521739130432E-2</v>
      </c>
      <c r="AE10" s="7">
        <f>Table2427245[[#This Row],[Total travel time in hr]]/24</f>
        <v>4.1666666666666664E-2</v>
      </c>
      <c r="AF10" s="8">
        <f>Table2427245[[#This Row],[Total travel time in hr]]*22</f>
        <v>22</v>
      </c>
      <c r="AG10" s="8">
        <f>Table2427245[[#This Row],[Total travel time (hr) in a month (22 days)]]/24</f>
        <v>0.91666666666666663</v>
      </c>
      <c r="AH10" s="9">
        <f>Table2427245[[#This Row],[Travel cost]]+Table2427245[[#This Row],[Travel cost ]]</f>
        <v>0</v>
      </c>
      <c r="AI10" s="9">
        <f>Table2427245[[#This Row],[Total Cost]]*22</f>
        <v>0</v>
      </c>
      <c r="AJ10" s="8">
        <f>24-Table2427245[[#This Row],[Total Work Hours in Decimals]]-Table2427245[[#This Row],[Total travel time (hr) in a month (22 days)]]/22</f>
        <v>12.5</v>
      </c>
      <c r="AK10" s="11"/>
    </row>
    <row r="11" spans="1:37" x14ac:dyDescent="0.25">
      <c r="A11" s="11" t="s">
        <v>49</v>
      </c>
      <c r="B11" s="11" t="s">
        <v>37</v>
      </c>
      <c r="C11" s="11" t="s">
        <v>12</v>
      </c>
      <c r="D11" s="11">
        <f>IF(Table2427245[[#This Row],[Workplace Location]]="Taguig",IF(Table2427245[[#This Row],[Marital Status]]="Single",1,0),"na")</f>
        <v>1</v>
      </c>
      <c r="E11" s="11" t="s">
        <v>16</v>
      </c>
      <c r="F11" s="11" t="s">
        <v>39</v>
      </c>
      <c r="H11" s="11" t="s">
        <v>41</v>
      </c>
      <c r="J11" s="11">
        <f>IF(Table2427245[[#This Row],[Location of Residence]]=Table2427245[[#This Row],[Workplace Location]],1,0)</f>
        <v>0</v>
      </c>
      <c r="K11" s="11" cm="1">
        <f t="array" ref="K11">IF(Table2427245[[#This Row],[Workplace Location]]="Taguig",IF(Table2427245[[#This Row],[Location of Residence]]=Table2427245[[#This Row],[Workplace Location]],1,0),null)</f>
        <v>0</v>
      </c>
      <c r="L11" s="6">
        <v>0.79166666666666663</v>
      </c>
      <c r="M11" s="12">
        <v>0.70833333333333337</v>
      </c>
      <c r="N11" s="12">
        <v>0.79166666666666663</v>
      </c>
      <c r="O11"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8.3333333333333259E-2</v>
      </c>
      <c r="P11" s="14">
        <f>Table2427245[[#This Row],[Travel Time from Home to Work]]*24</f>
        <v>1.9999999999999982</v>
      </c>
      <c r="Q11" s="14">
        <f>IF(Table2427245[[#This Row],[Workplace Location]]="Taguig",Table2427245[[#This Row],[Travel Time from Home to Work in Decimals]],"na")</f>
        <v>1.9999999999999982</v>
      </c>
      <c r="R11" s="23">
        <v>16</v>
      </c>
      <c r="S11" s="23">
        <f>IF(Table2427245[[#This Row],[Workplace Location]]="Taguig",Table2427245[[#This Row],[Travel cost ]],"na")</f>
        <v>16</v>
      </c>
      <c r="T11" s="6">
        <v>0.20833333333333334</v>
      </c>
      <c r="U11" s="12">
        <v>0.20833333333333334</v>
      </c>
      <c r="V11" s="12">
        <v>0.25</v>
      </c>
      <c r="W11" s="13">
        <f>IF(Table2427245[[#This Row],[End of Work (time)]]&lt;Table2427245[[#This Row],[Start of Work (time)]],Table2427245[[#This Row],[End of Work (time)]]+24-Table2427245[[#This Row],[Start of Work (time)]],Table2427245[[#This Row],[End of Work (time)]]-Table2427245[[#This Row],[Start of Work (time)]])</f>
        <v>23.416666666666664</v>
      </c>
      <c r="X11" s="14">
        <f>HOUR(Table2427245[[#This Row],[Total Work Hours]])+MINUTE(Table2427245[[#This Row],[Total Work Hours]])/60</f>
        <v>10</v>
      </c>
      <c r="Y11"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4.1666666666666657E-2</v>
      </c>
      <c r="Z11" s="16">
        <f>Table2427245[[#This Row],[Travel Time from Work to Home]]*24</f>
        <v>0.99999999999999978</v>
      </c>
      <c r="AA11" s="23">
        <v>16</v>
      </c>
      <c r="AB11" s="13">
        <f>Table2427245[[#This Row],[Travel Time from Work to Home]]+Table2427245[[#This Row],[Travel Time from Home to Work]]</f>
        <v>0.12499999999999992</v>
      </c>
      <c r="AC11" s="14">
        <f>HOUR(Table2427245[[#This Row],[Total Travel Time]])+MINUTE(Table2427245[[#This Row],[Total Travel Time]])/60</f>
        <v>3</v>
      </c>
      <c r="AD11" s="17">
        <f>Table2427245[[#This Row],[Total travel time in hr]]/(Table2427245[[#This Row],[Total travel time in hr]]+HOUR(Table2427245[[#This Row],[Total Work Hours]])+MINUTE(Table2427245[[#This Row],[Total Work Hours]])/60)</f>
        <v>0.23076923076923078</v>
      </c>
      <c r="AE11" s="7">
        <f>Table2427245[[#This Row],[Total travel time in hr]]/24</f>
        <v>0.125</v>
      </c>
      <c r="AF11" s="8">
        <f>Table2427245[[#This Row],[Total travel time in hr]]*22</f>
        <v>66</v>
      </c>
      <c r="AG11" s="8">
        <f>Table2427245[[#This Row],[Total travel time (hr) in a month (22 days)]]/24</f>
        <v>2.75</v>
      </c>
      <c r="AH11" s="9">
        <f>Table2427245[[#This Row],[Travel cost]]+Table2427245[[#This Row],[Travel cost ]]</f>
        <v>32</v>
      </c>
      <c r="AI11" s="9">
        <f>Table2427245[[#This Row],[Total Cost]]*22</f>
        <v>704</v>
      </c>
      <c r="AJ11" s="8">
        <f>24-Table2427245[[#This Row],[Total Work Hours in Decimals]]-Table2427245[[#This Row],[Total travel time (hr) in a month (22 days)]]/22</f>
        <v>11</v>
      </c>
      <c r="AK11" s="11"/>
    </row>
    <row r="12" spans="1:37" x14ac:dyDescent="0.25">
      <c r="A12" s="11" t="s">
        <v>49</v>
      </c>
      <c r="B12" s="11" t="s">
        <v>37</v>
      </c>
      <c r="C12" s="11" t="s">
        <v>12</v>
      </c>
      <c r="D12" s="11">
        <f>IF(Table2427245[[#This Row],[Workplace Location]]="Taguig",IF(Table2427245[[#This Row],[Marital Status]]="Single",1,0),"na")</f>
        <v>1</v>
      </c>
      <c r="E12" s="11" t="s">
        <v>16</v>
      </c>
      <c r="F12" s="11" t="s">
        <v>39</v>
      </c>
      <c r="H12" s="11" t="s">
        <v>41</v>
      </c>
      <c r="J12" s="11">
        <f>IF(Table2427245[[#This Row],[Location of Residence]]=Table2427245[[#This Row],[Workplace Location]],1,0)</f>
        <v>0</v>
      </c>
      <c r="K12" s="11" cm="1">
        <f t="array" ref="K12">IF(Table2427245[[#This Row],[Workplace Location]]="Taguig",IF(Table2427245[[#This Row],[Location of Residence]]=Table2427245[[#This Row],[Workplace Location]],1,0),null)</f>
        <v>0</v>
      </c>
      <c r="L12" s="6">
        <v>0.5</v>
      </c>
      <c r="M12" s="12">
        <v>0.46875</v>
      </c>
      <c r="N12" s="12">
        <v>0.5</v>
      </c>
      <c r="O12"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3.125E-2</v>
      </c>
      <c r="P12" s="14">
        <f>Table2427245[[#This Row],[Travel Time from Home to Work]]*24</f>
        <v>0.75</v>
      </c>
      <c r="Q12" s="14">
        <f>IF(Table2427245[[#This Row],[Workplace Location]]="Taguig",Table2427245[[#This Row],[Travel Time from Home to Work in Decimals]],"na")</f>
        <v>0.75</v>
      </c>
      <c r="R12" s="23">
        <v>20</v>
      </c>
      <c r="S12" s="23">
        <f>IF(Table2427245[[#This Row],[Workplace Location]]="Taguig",Table2427245[[#This Row],[Travel cost ]],"na")</f>
        <v>20</v>
      </c>
      <c r="T12" s="6">
        <v>0.83333333333333337</v>
      </c>
      <c r="U12" s="12">
        <v>0.83333333333333337</v>
      </c>
      <c r="V12" s="12">
        <v>0.875</v>
      </c>
      <c r="W12" s="13">
        <f>IF(Table2427245[[#This Row],[End of Work (time)]]&lt;Table2427245[[#This Row],[Start of Work (time)]],Table2427245[[#This Row],[End of Work (time)]]+24-Table2427245[[#This Row],[Start of Work (time)]],Table2427245[[#This Row],[End of Work (time)]]-Table2427245[[#This Row],[Start of Work (time)]])</f>
        <v>0.33333333333333337</v>
      </c>
      <c r="X12" s="14">
        <f>HOUR(Table2427245[[#This Row],[Total Work Hours]])+MINUTE(Table2427245[[#This Row],[Total Work Hours]])/60</f>
        <v>8</v>
      </c>
      <c r="Y12"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4.166666666666663E-2</v>
      </c>
      <c r="Z12" s="16">
        <f>Table2427245[[#This Row],[Travel Time from Work to Home]]*24</f>
        <v>0.99999999999999911</v>
      </c>
      <c r="AA12" s="23">
        <v>20</v>
      </c>
      <c r="AB12" s="13">
        <f>Table2427245[[#This Row],[Travel Time from Work to Home]]+Table2427245[[#This Row],[Travel Time from Home to Work]]</f>
        <v>7.291666666666663E-2</v>
      </c>
      <c r="AC12" s="14">
        <f>HOUR(Table2427245[[#This Row],[Total Travel Time]])+MINUTE(Table2427245[[#This Row],[Total Travel Time]])/60</f>
        <v>1.75</v>
      </c>
      <c r="AD12" s="17">
        <f>Table2427245[[#This Row],[Total travel time in hr]]/(Table2427245[[#This Row],[Total travel time in hr]]+HOUR(Table2427245[[#This Row],[Total Work Hours]])+MINUTE(Table2427245[[#This Row],[Total Work Hours]])/60)</f>
        <v>0.17948717948717949</v>
      </c>
      <c r="AE12" s="7">
        <f>Table2427245[[#This Row],[Total travel time in hr]]/24</f>
        <v>7.2916666666666671E-2</v>
      </c>
      <c r="AF12" s="8">
        <f>Table2427245[[#This Row],[Total travel time in hr]]*22</f>
        <v>38.5</v>
      </c>
      <c r="AG12" s="8">
        <f>Table2427245[[#This Row],[Total travel time (hr) in a month (22 days)]]/24</f>
        <v>1.6041666666666667</v>
      </c>
      <c r="AH12" s="9">
        <f>Table2427245[[#This Row],[Travel cost]]+Table2427245[[#This Row],[Travel cost ]]</f>
        <v>40</v>
      </c>
      <c r="AI12" s="9">
        <f>Table2427245[[#This Row],[Total Cost]]*22</f>
        <v>880</v>
      </c>
      <c r="AJ12" s="8">
        <f>24-Table2427245[[#This Row],[Total Work Hours in Decimals]]-Table2427245[[#This Row],[Total travel time (hr) in a month (22 days)]]/22</f>
        <v>14.25</v>
      </c>
      <c r="AK12" s="11"/>
    </row>
    <row r="13" spans="1:37" x14ac:dyDescent="0.25">
      <c r="A13" s="11" t="s">
        <v>36</v>
      </c>
      <c r="B13" s="11" t="s">
        <v>37</v>
      </c>
      <c r="C13" s="11" t="s">
        <v>12</v>
      </c>
      <c r="D13" s="11" t="str">
        <f>IF(Table2427245[[#This Row],[Workplace Location]]="Taguig",IF(Table2427245[[#This Row],[Marital Status]]="Single",1,0),"na")</f>
        <v>na</v>
      </c>
      <c r="E13" s="11" t="s">
        <v>16</v>
      </c>
      <c r="F13" s="11" t="s">
        <v>45</v>
      </c>
      <c r="H13" s="11" t="s">
        <v>39</v>
      </c>
      <c r="J13" s="11">
        <f>IF(Table2427245[[#This Row],[Location of Residence]]=Table2427245[[#This Row],[Workplace Location]],1,0)</f>
        <v>0</v>
      </c>
      <c r="K13" s="11" t="e" cm="1">
        <f t="array" ref="K13">IF(Table2427245[[#This Row],[Workplace Location]]="Taguig",IF(Table2427245[[#This Row],[Location of Residence]]=Table2427245[[#This Row],[Workplace Location]],1,0),null)</f>
        <v>#NAME?</v>
      </c>
      <c r="L13" s="6">
        <v>0.41666666666666669</v>
      </c>
      <c r="M13" s="12">
        <v>0.375</v>
      </c>
      <c r="N13" s="12">
        <v>0.39583333333333331</v>
      </c>
      <c r="O13"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2.0833333333333315E-2</v>
      </c>
      <c r="P13" s="14">
        <f>Table2427245[[#This Row],[Travel Time from Home to Work]]*24</f>
        <v>0.49999999999999956</v>
      </c>
      <c r="Q13" s="14" t="str">
        <f>IF(Table2427245[[#This Row],[Workplace Location]]="Taguig",Table2427245[[#This Row],[Travel Time from Home to Work in Decimals]],"na")</f>
        <v>na</v>
      </c>
      <c r="R13" s="23">
        <v>13</v>
      </c>
      <c r="S13" s="23" t="str">
        <f>IF(Table2427245[[#This Row],[Workplace Location]]="Taguig",Table2427245[[#This Row],[Travel cost ]],"na")</f>
        <v>na</v>
      </c>
      <c r="T13" s="6">
        <v>0.75</v>
      </c>
      <c r="U13" s="12">
        <v>0.75</v>
      </c>
      <c r="V13" s="12">
        <v>0.83333333333333337</v>
      </c>
      <c r="W13" s="13">
        <f>IF(Table2427245[[#This Row],[End of Work (time)]]&lt;Table2427245[[#This Row],[Start of Work (time)]],Table2427245[[#This Row],[End of Work (time)]]+24-Table2427245[[#This Row],[Start of Work (time)]],Table2427245[[#This Row],[End of Work (time)]]-Table2427245[[#This Row],[Start of Work (time)]])</f>
        <v>0.33333333333333331</v>
      </c>
      <c r="X13" s="14">
        <f>HOUR(Table2427245[[#This Row],[Total Work Hours]])+MINUTE(Table2427245[[#This Row],[Total Work Hours]])/60</f>
        <v>8</v>
      </c>
      <c r="Y13"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8.333333333333337E-2</v>
      </c>
      <c r="Z13" s="16">
        <f>Table2427245[[#This Row],[Travel Time from Work to Home]]*24</f>
        <v>2.0000000000000009</v>
      </c>
      <c r="AA13" s="23">
        <v>13</v>
      </c>
      <c r="AB13" s="13">
        <f>Table2427245[[#This Row],[Travel Time from Work to Home]]+Table2427245[[#This Row],[Travel Time from Home to Work]]</f>
        <v>0.10416666666666669</v>
      </c>
      <c r="AC13" s="14">
        <f>HOUR(Table2427245[[#This Row],[Total Travel Time]])+MINUTE(Table2427245[[#This Row],[Total Travel Time]])/60</f>
        <v>2.5</v>
      </c>
      <c r="AD13" s="17">
        <f>Table2427245[[#This Row],[Total travel time in hr]]/(Table2427245[[#This Row],[Total travel time in hr]]+HOUR(Table2427245[[#This Row],[Total Work Hours]])+MINUTE(Table2427245[[#This Row],[Total Work Hours]])/60)</f>
        <v>0.23809523809523808</v>
      </c>
      <c r="AE13" s="7">
        <f>Table2427245[[#This Row],[Total travel time in hr]]/24</f>
        <v>0.10416666666666667</v>
      </c>
      <c r="AF13" s="8">
        <f>Table2427245[[#This Row],[Total travel time in hr]]*22</f>
        <v>55</v>
      </c>
      <c r="AG13" s="8">
        <f>Table2427245[[#This Row],[Total travel time (hr) in a month (22 days)]]/24</f>
        <v>2.2916666666666665</v>
      </c>
      <c r="AH13" s="9">
        <f>Table2427245[[#This Row],[Travel cost]]+Table2427245[[#This Row],[Travel cost ]]</f>
        <v>26</v>
      </c>
      <c r="AI13" s="9">
        <f>Table2427245[[#This Row],[Total Cost]]*22</f>
        <v>572</v>
      </c>
      <c r="AJ13" s="8">
        <f>24-Table2427245[[#This Row],[Total Work Hours in Decimals]]-Table2427245[[#This Row],[Total travel time (hr) in a month (22 days)]]/22</f>
        <v>13.5</v>
      </c>
      <c r="AK13" s="11"/>
    </row>
    <row r="14" spans="1:37" x14ac:dyDescent="0.25">
      <c r="A14" s="11" t="s">
        <v>36</v>
      </c>
      <c r="B14" s="11" t="s">
        <v>37</v>
      </c>
      <c r="C14" s="11" t="s">
        <v>13</v>
      </c>
      <c r="D14" s="11">
        <f>IF(Table2427245[[#This Row],[Workplace Location]]="Taguig",IF(Table2427245[[#This Row],[Marital Status]]="Single",1,0),"na")</f>
        <v>0</v>
      </c>
      <c r="E14" s="11" t="s">
        <v>16</v>
      </c>
      <c r="F14" s="11" t="s">
        <v>45</v>
      </c>
      <c r="H14" s="11" t="s">
        <v>41</v>
      </c>
      <c r="J14" s="11">
        <f>IF(Table2427245[[#This Row],[Location of Residence]]=Table2427245[[#This Row],[Workplace Location]],1,0)</f>
        <v>0</v>
      </c>
      <c r="K14" s="11" cm="1">
        <f t="array" ref="K14">IF(Table2427245[[#This Row],[Workplace Location]]="Taguig",IF(Table2427245[[#This Row],[Location of Residence]]=Table2427245[[#This Row],[Workplace Location]],1,0),null)</f>
        <v>0</v>
      </c>
      <c r="L14" s="6">
        <v>0.58333333333333337</v>
      </c>
      <c r="M14" s="12">
        <v>0.54166666666666663</v>
      </c>
      <c r="N14" s="12">
        <v>0.58333333333333337</v>
      </c>
      <c r="O14"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4.1666666666666741E-2</v>
      </c>
      <c r="P14" s="14">
        <f>Table2427245[[#This Row],[Travel Time from Home to Work]]*24</f>
        <v>1.0000000000000018</v>
      </c>
      <c r="Q14" s="14">
        <f>IF(Table2427245[[#This Row],[Workplace Location]]="Taguig",Table2427245[[#This Row],[Travel Time from Home to Work in Decimals]],"na")</f>
        <v>1.0000000000000018</v>
      </c>
      <c r="R14" s="23">
        <v>49</v>
      </c>
      <c r="S14" s="23">
        <f>IF(Table2427245[[#This Row],[Workplace Location]]="Taguig",Table2427245[[#This Row],[Travel cost ]],"na")</f>
        <v>49</v>
      </c>
      <c r="T14" s="6">
        <v>0</v>
      </c>
      <c r="U14" s="12">
        <v>0</v>
      </c>
      <c r="V14" s="12">
        <v>1.0416666666666666E-2</v>
      </c>
      <c r="W14" s="13">
        <f>IF(Table2427245[[#This Row],[End of Work (time)]]&lt;Table2427245[[#This Row],[Start of Work (time)]],Table2427245[[#This Row],[End of Work (time)]]+24-Table2427245[[#This Row],[Start of Work (time)]],Table2427245[[#This Row],[End of Work (time)]]-Table2427245[[#This Row],[Start of Work (time)]])</f>
        <v>23.416666666666668</v>
      </c>
      <c r="X14" s="14">
        <f>HOUR(Table2427245[[#This Row],[Total Work Hours]])+MINUTE(Table2427245[[#This Row],[Total Work Hours]])/60</f>
        <v>10</v>
      </c>
      <c r="Y14"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1.0416666666666666E-2</v>
      </c>
      <c r="Z14" s="16">
        <f>Table2427245[[#This Row],[Travel Time from Work to Home]]*24</f>
        <v>0.25</v>
      </c>
      <c r="AA14" s="23">
        <v>0</v>
      </c>
      <c r="AB14" s="13">
        <f>Table2427245[[#This Row],[Travel Time from Work to Home]]+Table2427245[[#This Row],[Travel Time from Home to Work]]</f>
        <v>5.2083333333333405E-2</v>
      </c>
      <c r="AC14" s="14">
        <f>HOUR(Table2427245[[#This Row],[Total Travel Time]])+MINUTE(Table2427245[[#This Row],[Total Travel Time]])/60</f>
        <v>1.25</v>
      </c>
      <c r="AD14" s="17">
        <f>Table2427245[[#This Row],[Total travel time in hr]]/(Table2427245[[#This Row],[Total travel time in hr]]+HOUR(Table2427245[[#This Row],[Total Work Hours]])+MINUTE(Table2427245[[#This Row],[Total Work Hours]])/60)</f>
        <v>0.1111111111111111</v>
      </c>
      <c r="AE14" s="7">
        <f>Table2427245[[#This Row],[Total travel time in hr]]/24</f>
        <v>5.2083333333333336E-2</v>
      </c>
      <c r="AF14" s="8">
        <f>Table2427245[[#This Row],[Total travel time in hr]]*22</f>
        <v>27.5</v>
      </c>
      <c r="AG14" s="8">
        <f>Table2427245[[#This Row],[Total travel time (hr) in a month (22 days)]]/24</f>
        <v>1.1458333333333333</v>
      </c>
      <c r="AH14" s="9">
        <f>Table2427245[[#This Row],[Travel cost]]+Table2427245[[#This Row],[Travel cost ]]</f>
        <v>49</v>
      </c>
      <c r="AI14" s="9">
        <f>Table2427245[[#This Row],[Total Cost]]*22</f>
        <v>1078</v>
      </c>
      <c r="AJ14" s="8">
        <f>24-Table2427245[[#This Row],[Total Work Hours in Decimals]]-Table2427245[[#This Row],[Total travel time (hr) in a month (22 days)]]/22</f>
        <v>12.75</v>
      </c>
      <c r="AK14" s="11"/>
    </row>
    <row r="15" spans="1:37" x14ac:dyDescent="0.25">
      <c r="A15" s="11" t="s">
        <v>36</v>
      </c>
      <c r="B15" s="11" t="s">
        <v>37</v>
      </c>
      <c r="C15" s="11" t="s">
        <v>12</v>
      </c>
      <c r="D15" s="11" t="str">
        <f>IF(Table2427245[[#This Row],[Workplace Location]]="Taguig",IF(Table2427245[[#This Row],[Marital Status]]="Single",1,0),"na")</f>
        <v>na</v>
      </c>
      <c r="E15" s="11" t="s">
        <v>16</v>
      </c>
      <c r="F15" s="11" t="s">
        <v>44</v>
      </c>
      <c r="H15" s="11" t="s">
        <v>39</v>
      </c>
      <c r="J15" s="11">
        <f>IF(Table2427245[[#This Row],[Location of Residence]]=Table2427245[[#This Row],[Workplace Location]],1,0)</f>
        <v>0</v>
      </c>
      <c r="K15" s="11" t="e" cm="1">
        <f t="array" ref="K15">IF(Table2427245[[#This Row],[Workplace Location]]="Taguig",IF(Table2427245[[#This Row],[Location of Residence]]=Table2427245[[#This Row],[Workplace Location]],1,0),null)</f>
        <v>#NAME?</v>
      </c>
      <c r="L15" s="6">
        <v>0.33333333333333331</v>
      </c>
      <c r="M15" s="12">
        <v>0.22916666666666666</v>
      </c>
      <c r="N15" s="12">
        <v>0.29166666666666669</v>
      </c>
      <c r="O15"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6.2500000000000028E-2</v>
      </c>
      <c r="P15" s="14">
        <f>Table2427245[[#This Row],[Travel Time from Home to Work]]*24</f>
        <v>1.5000000000000007</v>
      </c>
      <c r="Q15" s="14" t="str">
        <f>IF(Table2427245[[#This Row],[Workplace Location]]="Taguig",Table2427245[[#This Row],[Travel Time from Home to Work in Decimals]],"na")</f>
        <v>na</v>
      </c>
      <c r="R15" s="23">
        <v>45</v>
      </c>
      <c r="S15" s="23" t="str">
        <f>IF(Table2427245[[#This Row],[Workplace Location]]="Taguig",Table2427245[[#This Row],[Travel cost ]],"na")</f>
        <v>na</v>
      </c>
      <c r="T15" s="6">
        <v>0.70833333333333337</v>
      </c>
      <c r="U15" s="12">
        <v>0.70833333333333337</v>
      </c>
      <c r="V15" s="12">
        <v>0.8125</v>
      </c>
      <c r="W15" s="13">
        <f>IF(Table2427245[[#This Row],[End of Work (time)]]&lt;Table2427245[[#This Row],[Start of Work (time)]],Table2427245[[#This Row],[End of Work (time)]]+24-Table2427245[[#This Row],[Start of Work (time)]],Table2427245[[#This Row],[End of Work (time)]]-Table2427245[[#This Row],[Start of Work (time)]])</f>
        <v>0.37500000000000006</v>
      </c>
      <c r="X15" s="14">
        <f>HOUR(Table2427245[[#This Row],[Total Work Hours]])+MINUTE(Table2427245[[#This Row],[Total Work Hours]])/60</f>
        <v>9</v>
      </c>
      <c r="Y15"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0.10416666666666663</v>
      </c>
      <c r="Z15" s="16">
        <f>Table2427245[[#This Row],[Travel Time from Work to Home]]*24</f>
        <v>2.4999999999999991</v>
      </c>
      <c r="AA15" s="23">
        <v>45</v>
      </c>
      <c r="AB15" s="13">
        <f>Table2427245[[#This Row],[Travel Time from Work to Home]]+Table2427245[[#This Row],[Travel Time from Home to Work]]</f>
        <v>0.16666666666666666</v>
      </c>
      <c r="AC15" s="14">
        <f>HOUR(Table2427245[[#This Row],[Total Travel Time]])+MINUTE(Table2427245[[#This Row],[Total Travel Time]])/60</f>
        <v>4</v>
      </c>
      <c r="AD15" s="17">
        <f>Table2427245[[#This Row],[Total travel time in hr]]/(Table2427245[[#This Row],[Total travel time in hr]]+HOUR(Table2427245[[#This Row],[Total Work Hours]])+MINUTE(Table2427245[[#This Row],[Total Work Hours]])/60)</f>
        <v>0.30769230769230771</v>
      </c>
      <c r="AE15" s="7">
        <f>Table2427245[[#This Row],[Total travel time in hr]]/24</f>
        <v>0.16666666666666666</v>
      </c>
      <c r="AF15" s="8">
        <f>Table2427245[[#This Row],[Total travel time in hr]]*22</f>
        <v>88</v>
      </c>
      <c r="AG15" s="8">
        <f>Table2427245[[#This Row],[Total travel time (hr) in a month (22 days)]]/24</f>
        <v>3.6666666666666665</v>
      </c>
      <c r="AH15" s="9">
        <f>Table2427245[[#This Row],[Travel cost]]+Table2427245[[#This Row],[Travel cost ]]</f>
        <v>90</v>
      </c>
      <c r="AI15" s="9">
        <f>Table2427245[[#This Row],[Total Cost]]*22</f>
        <v>1980</v>
      </c>
      <c r="AJ15" s="8">
        <f>24-Table2427245[[#This Row],[Total Work Hours in Decimals]]-Table2427245[[#This Row],[Total travel time (hr) in a month (22 days)]]/22</f>
        <v>11</v>
      </c>
      <c r="AK15" s="11"/>
    </row>
    <row r="16" spans="1:37" x14ac:dyDescent="0.25">
      <c r="A16" s="11" t="s">
        <v>36</v>
      </c>
      <c r="B16" s="11" t="s">
        <v>40</v>
      </c>
      <c r="C16" s="11" t="s">
        <v>12</v>
      </c>
      <c r="D16" s="11" t="str">
        <f>IF(Table2427245[[#This Row],[Workplace Location]]="Taguig",IF(Table2427245[[#This Row],[Marital Status]]="Single",1,0),"na")</f>
        <v>na</v>
      </c>
      <c r="E16" s="11" t="s">
        <v>14</v>
      </c>
      <c r="F16" s="11" t="s">
        <v>44</v>
      </c>
      <c r="H16" s="11" t="s">
        <v>39</v>
      </c>
      <c r="J16" s="11">
        <f>IF(Table2427245[[#This Row],[Location of Residence]]=Table2427245[[#This Row],[Workplace Location]],1,0)</f>
        <v>0</v>
      </c>
      <c r="K16" s="11" t="e" cm="1">
        <f t="array" ref="K16">IF(Table2427245[[#This Row],[Workplace Location]]="Taguig",IF(Table2427245[[#This Row],[Location of Residence]]=Table2427245[[#This Row],[Workplace Location]],1,0),null)</f>
        <v>#NAME?</v>
      </c>
      <c r="L16" s="6">
        <v>0.375</v>
      </c>
      <c r="M16" s="12">
        <v>0.32291666666666669</v>
      </c>
      <c r="N16" s="12">
        <v>0.375</v>
      </c>
      <c r="O16"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5.2083333333333315E-2</v>
      </c>
      <c r="P16" s="14">
        <f>Table2427245[[#This Row],[Travel Time from Home to Work]]*24</f>
        <v>1.2499999999999996</v>
      </c>
      <c r="Q16" s="14" t="str">
        <f>IF(Table2427245[[#This Row],[Workplace Location]]="Taguig",Table2427245[[#This Row],[Travel Time from Home to Work in Decimals]],"na")</f>
        <v>na</v>
      </c>
      <c r="R16" s="23">
        <v>70</v>
      </c>
      <c r="S16" s="23" t="str">
        <f>IF(Table2427245[[#This Row],[Workplace Location]]="Taguig",Table2427245[[#This Row],[Travel cost ]],"na")</f>
        <v>na</v>
      </c>
      <c r="T16" s="6">
        <v>0.875</v>
      </c>
      <c r="U16" s="12">
        <v>0.83333333333333337</v>
      </c>
      <c r="V16" s="12">
        <v>0.91666666666666663</v>
      </c>
      <c r="W16" s="13">
        <f>IF(Table2427245[[#This Row],[End of Work (time)]]&lt;Table2427245[[#This Row],[Start of Work (time)]],Table2427245[[#This Row],[End of Work (time)]]+24-Table2427245[[#This Row],[Start of Work (time)]],Table2427245[[#This Row],[End of Work (time)]]-Table2427245[[#This Row],[Start of Work (time)]])</f>
        <v>0.5</v>
      </c>
      <c r="X16" s="14">
        <f>HOUR(Table2427245[[#This Row],[Total Work Hours]])+MINUTE(Table2427245[[#This Row],[Total Work Hours]])/60</f>
        <v>12</v>
      </c>
      <c r="Y16"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8.3333333333333259E-2</v>
      </c>
      <c r="Z16" s="16">
        <f>Table2427245[[#This Row],[Travel Time from Work to Home]]*24</f>
        <v>1.9999999999999982</v>
      </c>
      <c r="AA16" s="23">
        <v>100</v>
      </c>
      <c r="AB16" s="13">
        <f>Table2427245[[#This Row],[Travel Time from Work to Home]]+Table2427245[[#This Row],[Travel Time from Home to Work]]</f>
        <v>0.13541666666666657</v>
      </c>
      <c r="AC16" s="14">
        <f>HOUR(Table2427245[[#This Row],[Total Travel Time]])+MINUTE(Table2427245[[#This Row],[Total Travel Time]])/60</f>
        <v>3.25</v>
      </c>
      <c r="AD16" s="17">
        <f>Table2427245[[#This Row],[Total travel time in hr]]/(Table2427245[[#This Row],[Total travel time in hr]]+HOUR(Table2427245[[#This Row],[Total Work Hours]])+MINUTE(Table2427245[[#This Row],[Total Work Hours]])/60)</f>
        <v>0.21311475409836064</v>
      </c>
      <c r="AE16" s="7">
        <f>Table2427245[[#This Row],[Total travel time in hr]]/24</f>
        <v>0.13541666666666666</v>
      </c>
      <c r="AF16" s="8">
        <f>Table2427245[[#This Row],[Total travel time in hr]]*22</f>
        <v>71.5</v>
      </c>
      <c r="AG16" s="8">
        <f>Table2427245[[#This Row],[Total travel time (hr) in a month (22 days)]]/24</f>
        <v>2.9791666666666665</v>
      </c>
      <c r="AH16" s="9">
        <f>Table2427245[[#This Row],[Travel cost]]+Table2427245[[#This Row],[Travel cost ]]</f>
        <v>170</v>
      </c>
      <c r="AI16" s="9">
        <f>Table2427245[[#This Row],[Total Cost]]*22</f>
        <v>3740</v>
      </c>
      <c r="AJ16" s="8">
        <f>24-Table2427245[[#This Row],[Total Work Hours in Decimals]]-Table2427245[[#This Row],[Total travel time (hr) in a month (22 days)]]/22</f>
        <v>8.75</v>
      </c>
      <c r="AK16" s="11"/>
    </row>
    <row r="17" spans="1:37" x14ac:dyDescent="0.25">
      <c r="A17" s="11" t="s">
        <v>36</v>
      </c>
      <c r="B17" s="11" t="s">
        <v>40</v>
      </c>
      <c r="C17" s="11" t="s">
        <v>12</v>
      </c>
      <c r="D17" s="11" t="str">
        <f>IF(Table2427245[[#This Row],[Workplace Location]]="Taguig",IF(Table2427245[[#This Row],[Marital Status]]="Single",1,0),"na")</f>
        <v>na</v>
      </c>
      <c r="E17" s="11" t="s">
        <v>16</v>
      </c>
      <c r="F17" s="11" t="s">
        <v>44</v>
      </c>
      <c r="H17" s="11" t="s">
        <v>45</v>
      </c>
      <c r="J17" s="11">
        <f>IF(Table2427245[[#This Row],[Location of Residence]]=Table2427245[[#This Row],[Workplace Location]],1,0)</f>
        <v>0</v>
      </c>
      <c r="K17" s="11" t="e" cm="1">
        <f t="array" ref="K17">IF(Table2427245[[#This Row],[Workplace Location]]="Taguig",IF(Table2427245[[#This Row],[Location of Residence]]=Table2427245[[#This Row],[Workplace Location]],1,0),null)</f>
        <v>#NAME?</v>
      </c>
      <c r="L17" s="6">
        <v>0.47916666666666669</v>
      </c>
      <c r="M17" s="12">
        <v>0.45833333333333331</v>
      </c>
      <c r="N17" s="12">
        <v>0.47916666666666669</v>
      </c>
      <c r="O17"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2.083333333333337E-2</v>
      </c>
      <c r="P17" s="14">
        <f>Table2427245[[#This Row],[Travel Time from Home to Work]]*24</f>
        <v>0.50000000000000089</v>
      </c>
      <c r="Q17" s="14" t="str">
        <f>IF(Table2427245[[#This Row],[Workplace Location]]="Taguig",Table2427245[[#This Row],[Travel Time from Home to Work in Decimals]],"na")</f>
        <v>na</v>
      </c>
      <c r="R17" s="23">
        <v>0</v>
      </c>
      <c r="S17" s="23" t="str">
        <f>IF(Table2427245[[#This Row],[Workplace Location]]="Taguig",Table2427245[[#This Row],[Travel cost ]],"na")</f>
        <v>na</v>
      </c>
      <c r="T17" s="6">
        <v>0.85416666666666663</v>
      </c>
      <c r="U17" s="12">
        <v>0.85416666666666663</v>
      </c>
      <c r="V17" s="12">
        <v>0.90625</v>
      </c>
      <c r="W17" s="13">
        <f>IF(Table2427245[[#This Row],[End of Work (time)]]&lt;Table2427245[[#This Row],[Start of Work (time)]],Table2427245[[#This Row],[End of Work (time)]]+24-Table2427245[[#This Row],[Start of Work (time)]],Table2427245[[#This Row],[End of Work (time)]]-Table2427245[[#This Row],[Start of Work (time)]])</f>
        <v>0.37499999999999994</v>
      </c>
      <c r="X17" s="14">
        <f>HOUR(Table2427245[[#This Row],[Total Work Hours]])+MINUTE(Table2427245[[#This Row],[Total Work Hours]])/60</f>
        <v>9</v>
      </c>
      <c r="Y17"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5.208333333333337E-2</v>
      </c>
      <c r="Z17" s="16">
        <f>Table2427245[[#This Row],[Travel Time from Work to Home]]*24</f>
        <v>1.2500000000000009</v>
      </c>
      <c r="AA17" s="23">
        <v>20</v>
      </c>
      <c r="AB17" s="13">
        <f>Table2427245[[#This Row],[Travel Time from Work to Home]]+Table2427245[[#This Row],[Travel Time from Home to Work]]</f>
        <v>7.2916666666666741E-2</v>
      </c>
      <c r="AC17" s="14">
        <f>HOUR(Table2427245[[#This Row],[Total Travel Time]])+MINUTE(Table2427245[[#This Row],[Total Travel Time]])/60</f>
        <v>1.75</v>
      </c>
      <c r="AD17" s="17">
        <f>Table2427245[[#This Row],[Total travel time in hr]]/(Table2427245[[#This Row],[Total travel time in hr]]+HOUR(Table2427245[[#This Row],[Total Work Hours]])+MINUTE(Table2427245[[#This Row],[Total Work Hours]])/60)</f>
        <v>0.16279069767441862</v>
      </c>
      <c r="AE17" s="7">
        <f>Table2427245[[#This Row],[Total travel time in hr]]/24</f>
        <v>7.2916666666666671E-2</v>
      </c>
      <c r="AF17" s="8">
        <f>Table2427245[[#This Row],[Total travel time in hr]]*22</f>
        <v>38.5</v>
      </c>
      <c r="AG17" s="8">
        <f>Table2427245[[#This Row],[Total travel time (hr) in a month (22 days)]]/24</f>
        <v>1.6041666666666667</v>
      </c>
      <c r="AH17" s="9">
        <f>Table2427245[[#This Row],[Travel cost]]+Table2427245[[#This Row],[Travel cost ]]</f>
        <v>20</v>
      </c>
      <c r="AI17" s="9">
        <f>Table2427245[[#This Row],[Total Cost]]*22</f>
        <v>440</v>
      </c>
      <c r="AJ17" s="8">
        <f>24-Table2427245[[#This Row],[Total Work Hours in Decimals]]-Table2427245[[#This Row],[Total travel time (hr) in a month (22 days)]]/22</f>
        <v>13.25</v>
      </c>
      <c r="AK17" s="11"/>
    </row>
    <row r="18" spans="1:37" x14ac:dyDescent="0.25">
      <c r="A18" s="11" t="s">
        <v>36</v>
      </c>
      <c r="B18" s="11" t="s">
        <v>40</v>
      </c>
      <c r="C18" s="11" t="s">
        <v>12</v>
      </c>
      <c r="D18" s="11" t="str">
        <f>IF(Table2427245[[#This Row],[Workplace Location]]="Taguig",IF(Table2427245[[#This Row],[Marital Status]]="Single",1,0),"na")</f>
        <v>na</v>
      </c>
      <c r="E18" s="11" t="s">
        <v>14</v>
      </c>
      <c r="F18" s="11" t="s">
        <v>44</v>
      </c>
      <c r="H18" s="11" t="s">
        <v>46</v>
      </c>
      <c r="J18" s="11">
        <f>IF(Table2427245[[#This Row],[Location of Residence]]=Table2427245[[#This Row],[Workplace Location]],1,0)</f>
        <v>0</v>
      </c>
      <c r="K18" s="11" t="e" cm="1">
        <f t="array" ref="K18">IF(Table2427245[[#This Row],[Workplace Location]]="Taguig",IF(Table2427245[[#This Row],[Location of Residence]]=Table2427245[[#This Row],[Workplace Location]],1,0),null)</f>
        <v>#NAME?</v>
      </c>
      <c r="L18" s="6">
        <v>0.27083333333333331</v>
      </c>
      <c r="M18" s="12">
        <v>0.20833333333333334</v>
      </c>
      <c r="N18" s="12">
        <v>0.27083333333333331</v>
      </c>
      <c r="O18"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6.2499999999999972E-2</v>
      </c>
      <c r="P18" s="14">
        <f>Table2427245[[#This Row],[Travel Time from Home to Work]]*24</f>
        <v>1.4999999999999993</v>
      </c>
      <c r="Q18" s="14" t="str">
        <f>IF(Table2427245[[#This Row],[Workplace Location]]="Taguig",Table2427245[[#This Row],[Travel Time from Home to Work in Decimals]],"na")</f>
        <v>na</v>
      </c>
      <c r="R18" s="23">
        <v>80</v>
      </c>
      <c r="S18" s="23" t="str">
        <f>IF(Table2427245[[#This Row],[Workplace Location]]="Taguig",Table2427245[[#This Row],[Travel cost ]],"na")</f>
        <v>na</v>
      </c>
      <c r="T18" s="6">
        <v>0.60416666666666663</v>
      </c>
      <c r="U18" s="12">
        <v>0.60416666666666663</v>
      </c>
      <c r="V18" s="12">
        <v>0.75</v>
      </c>
      <c r="W18" s="13">
        <f>IF(Table2427245[[#This Row],[End of Work (time)]]&lt;Table2427245[[#This Row],[Start of Work (time)]],Table2427245[[#This Row],[End of Work (time)]]+24-Table2427245[[#This Row],[Start of Work (time)]],Table2427245[[#This Row],[End of Work (time)]]-Table2427245[[#This Row],[Start of Work (time)]])</f>
        <v>0.33333333333333331</v>
      </c>
      <c r="X18" s="14">
        <f>HOUR(Table2427245[[#This Row],[Total Work Hours]])+MINUTE(Table2427245[[#This Row],[Total Work Hours]])/60</f>
        <v>8</v>
      </c>
      <c r="Y18"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0.14583333333333337</v>
      </c>
      <c r="Z18" s="16">
        <f>Table2427245[[#This Row],[Travel Time from Work to Home]]*24</f>
        <v>3.5000000000000009</v>
      </c>
      <c r="AA18" s="23">
        <v>80</v>
      </c>
      <c r="AB18" s="13">
        <f>Table2427245[[#This Row],[Travel Time from Work to Home]]+Table2427245[[#This Row],[Travel Time from Home to Work]]</f>
        <v>0.20833333333333334</v>
      </c>
      <c r="AC18" s="14">
        <f>HOUR(Table2427245[[#This Row],[Total Travel Time]])+MINUTE(Table2427245[[#This Row],[Total Travel Time]])/60</f>
        <v>5</v>
      </c>
      <c r="AD18" s="17">
        <f>Table2427245[[#This Row],[Total travel time in hr]]/(Table2427245[[#This Row],[Total travel time in hr]]+HOUR(Table2427245[[#This Row],[Total Work Hours]])+MINUTE(Table2427245[[#This Row],[Total Work Hours]])/60)</f>
        <v>0.38461538461538464</v>
      </c>
      <c r="AE18" s="7">
        <f>Table2427245[[#This Row],[Total travel time in hr]]/24</f>
        <v>0.20833333333333334</v>
      </c>
      <c r="AF18" s="8">
        <f>Table2427245[[#This Row],[Total travel time in hr]]*22</f>
        <v>110</v>
      </c>
      <c r="AG18" s="8">
        <f>Table2427245[[#This Row],[Total travel time (hr) in a month (22 days)]]/24</f>
        <v>4.583333333333333</v>
      </c>
      <c r="AH18" s="9">
        <f>Table2427245[[#This Row],[Travel cost]]+Table2427245[[#This Row],[Travel cost ]]</f>
        <v>160</v>
      </c>
      <c r="AI18" s="9">
        <f>Table2427245[[#This Row],[Total Cost]]*22</f>
        <v>3520</v>
      </c>
      <c r="AJ18" s="8">
        <f>24-Table2427245[[#This Row],[Total Work Hours in Decimals]]-Table2427245[[#This Row],[Total travel time (hr) in a month (22 days)]]/22</f>
        <v>11</v>
      </c>
      <c r="AK18" s="11"/>
    </row>
    <row r="19" spans="1:37" x14ac:dyDescent="0.25">
      <c r="A19" s="11" t="s">
        <v>49</v>
      </c>
      <c r="B19" s="11" t="s">
        <v>60</v>
      </c>
      <c r="C19" s="11" t="s">
        <v>12</v>
      </c>
      <c r="D19" s="11" t="str">
        <f>IF(Table2427245[[#This Row],[Workplace Location]]="Taguig",IF(Table2427245[[#This Row],[Marital Status]]="Single",1,0),"na")</f>
        <v>na</v>
      </c>
      <c r="E19" s="11" t="s">
        <v>14</v>
      </c>
      <c r="F19" s="11" t="s">
        <v>44</v>
      </c>
      <c r="H19" s="11" t="s">
        <v>50</v>
      </c>
      <c r="J19" s="11">
        <f>IF(Table2427245[[#This Row],[Location of Residence]]=Table2427245[[#This Row],[Workplace Location]],1,0)</f>
        <v>0</v>
      </c>
      <c r="K19" s="11" t="e" cm="1">
        <f t="array" ref="K19">IF(Table2427245[[#This Row],[Workplace Location]]="Taguig",IF(Table2427245[[#This Row],[Location of Residence]]=Table2427245[[#This Row],[Workplace Location]],1,0),null)</f>
        <v>#NAME?</v>
      </c>
      <c r="L19" s="6">
        <v>0.33333333333333331</v>
      </c>
      <c r="M19" s="12">
        <v>0.29166666666666669</v>
      </c>
      <c r="N19" s="12">
        <v>0.3263888888888889</v>
      </c>
      <c r="O19"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3.472222222222221E-2</v>
      </c>
      <c r="P19" s="14">
        <f>Table2427245[[#This Row],[Travel Time from Home to Work]]*24</f>
        <v>0.83333333333333304</v>
      </c>
      <c r="Q19" s="14" t="str">
        <f>IF(Table2427245[[#This Row],[Workplace Location]]="Taguig",Table2427245[[#This Row],[Travel Time from Home to Work in Decimals]],"na")</f>
        <v>na</v>
      </c>
      <c r="R19" s="23">
        <v>60</v>
      </c>
      <c r="S19" s="23" t="str">
        <f>IF(Table2427245[[#This Row],[Workplace Location]]="Taguig",Table2427245[[#This Row],[Travel cost ]],"na")</f>
        <v>na</v>
      </c>
      <c r="T19" s="6">
        <v>0.68055555555555547</v>
      </c>
      <c r="U19" s="12">
        <v>0.6875</v>
      </c>
      <c r="V19" s="12">
        <v>0.72916666666666663</v>
      </c>
      <c r="W19" s="13">
        <f>IF(Table2427245[[#This Row],[End of Work (time)]]&lt;Table2427245[[#This Row],[Start of Work (time)]],Table2427245[[#This Row],[End of Work (time)]]+24-Table2427245[[#This Row],[Start of Work (time)]],Table2427245[[#This Row],[End of Work (time)]]-Table2427245[[#This Row],[Start of Work (time)]])</f>
        <v>0.34722222222222215</v>
      </c>
      <c r="X19" s="14">
        <f>HOUR(Table2427245[[#This Row],[Total Work Hours]])+MINUTE(Table2427245[[#This Row],[Total Work Hours]])/60</f>
        <v>8.3333333333333339</v>
      </c>
      <c r="Y19"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4.166666666666663E-2</v>
      </c>
      <c r="Z19" s="16">
        <f>Table2427245[[#This Row],[Travel Time from Work to Home]]*24</f>
        <v>0.99999999999999911</v>
      </c>
      <c r="AA19" s="23">
        <v>60</v>
      </c>
      <c r="AB19" s="13">
        <f>Table2427245[[#This Row],[Travel Time from Work to Home]]+Table2427245[[#This Row],[Travel Time from Home to Work]]</f>
        <v>7.638888888888884E-2</v>
      </c>
      <c r="AC19" s="14">
        <f>HOUR(Table2427245[[#This Row],[Total Travel Time]])+MINUTE(Table2427245[[#This Row],[Total Travel Time]])/60</f>
        <v>1.8333333333333335</v>
      </c>
      <c r="AD19" s="17">
        <f>Table2427245[[#This Row],[Total travel time in hr]]/(Table2427245[[#This Row],[Total travel time in hr]]+HOUR(Table2427245[[#This Row],[Total Work Hours]])+MINUTE(Table2427245[[#This Row],[Total Work Hours]])/60)</f>
        <v>0.18032786885245902</v>
      </c>
      <c r="AE19" s="7">
        <f>Table2427245[[#This Row],[Total travel time in hr]]/24</f>
        <v>7.6388888888888895E-2</v>
      </c>
      <c r="AF19" s="8">
        <f>Table2427245[[#This Row],[Total travel time in hr]]*22</f>
        <v>40.333333333333336</v>
      </c>
      <c r="AG19" s="8">
        <f>Table2427245[[#This Row],[Total travel time (hr) in a month (22 days)]]/24</f>
        <v>1.6805555555555556</v>
      </c>
      <c r="AH19" s="9">
        <f>Table2427245[[#This Row],[Travel cost]]+Table2427245[[#This Row],[Travel cost ]]</f>
        <v>120</v>
      </c>
      <c r="AI19" s="9">
        <f>Table2427245[[#This Row],[Total Cost]]*22</f>
        <v>2640</v>
      </c>
      <c r="AJ19" s="8">
        <f>24-Table2427245[[#This Row],[Total Work Hours in Decimals]]-Table2427245[[#This Row],[Total travel time (hr) in a month (22 days)]]/22</f>
        <v>13.833333333333332</v>
      </c>
      <c r="AK19" s="11"/>
    </row>
    <row r="20" spans="1:37" x14ac:dyDescent="0.25">
      <c r="A20" s="11" t="s">
        <v>36</v>
      </c>
      <c r="B20" s="11" t="s">
        <v>40</v>
      </c>
      <c r="C20" s="11" t="s">
        <v>12</v>
      </c>
      <c r="D20" s="11" t="str">
        <f>IF(Table2427245[[#This Row],[Workplace Location]]="Taguig",IF(Table2427245[[#This Row],[Marital Status]]="Single",1,0),"na")</f>
        <v>na</v>
      </c>
      <c r="E20" s="11" t="s">
        <v>16</v>
      </c>
      <c r="F20" s="11" t="s">
        <v>44</v>
      </c>
      <c r="H20" s="11" t="s">
        <v>47</v>
      </c>
      <c r="J20" s="11">
        <f>IF(Table2427245[[#This Row],[Location of Residence]]=Table2427245[[#This Row],[Workplace Location]],1,0)</f>
        <v>0</v>
      </c>
      <c r="K20" s="11" t="e" cm="1">
        <f t="array" ref="K20">IF(Table2427245[[#This Row],[Workplace Location]]="Taguig",IF(Table2427245[[#This Row],[Location of Residence]]=Table2427245[[#This Row],[Workplace Location]],1,0),null)</f>
        <v>#NAME?</v>
      </c>
      <c r="L20" s="6">
        <v>0.58333333333333337</v>
      </c>
      <c r="M20" s="12">
        <v>0.5</v>
      </c>
      <c r="N20" s="12">
        <v>0.58333333333333337</v>
      </c>
      <c r="O20"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8.333333333333337E-2</v>
      </c>
      <c r="P20" s="14">
        <f>Table2427245[[#This Row],[Travel Time from Home to Work]]*24</f>
        <v>2.0000000000000009</v>
      </c>
      <c r="Q20" s="14" t="str">
        <f>IF(Table2427245[[#This Row],[Workplace Location]]="Taguig",Table2427245[[#This Row],[Travel Time from Home to Work in Decimals]],"na")</f>
        <v>na</v>
      </c>
      <c r="R20" s="23">
        <v>55</v>
      </c>
      <c r="S20" s="23" t="str">
        <f>IF(Table2427245[[#This Row],[Workplace Location]]="Taguig",Table2427245[[#This Row],[Travel cost ]],"na")</f>
        <v>na</v>
      </c>
      <c r="T20" s="6">
        <v>2.0833333333333332E-2</v>
      </c>
      <c r="U20" s="12">
        <v>4.1666666666666664E-2</v>
      </c>
      <c r="V20" s="12">
        <v>6.25E-2</v>
      </c>
      <c r="W20" s="13">
        <f>IF(Table2427245[[#This Row],[End of Work (time)]]&lt;Table2427245[[#This Row],[Start of Work (time)]],Table2427245[[#This Row],[End of Work (time)]]+24-Table2427245[[#This Row],[Start of Work (time)]],Table2427245[[#This Row],[End of Work (time)]]-Table2427245[[#This Row],[Start of Work (time)]])</f>
        <v>23.4375</v>
      </c>
      <c r="X20" s="14">
        <f>HOUR(Table2427245[[#This Row],[Total Work Hours]])+MINUTE(Table2427245[[#This Row],[Total Work Hours]])/60</f>
        <v>10.5</v>
      </c>
      <c r="Y20"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2.0833333333333336E-2</v>
      </c>
      <c r="Z20" s="16">
        <f>Table2427245[[#This Row],[Travel Time from Work to Home]]*24</f>
        <v>0.5</v>
      </c>
      <c r="AA20" s="23">
        <v>0</v>
      </c>
      <c r="AB20" s="13">
        <f>Table2427245[[#This Row],[Travel Time from Work to Home]]+Table2427245[[#This Row],[Travel Time from Home to Work]]</f>
        <v>0.10416666666666671</v>
      </c>
      <c r="AC20" s="14">
        <f>HOUR(Table2427245[[#This Row],[Total Travel Time]])+MINUTE(Table2427245[[#This Row],[Total Travel Time]])/60</f>
        <v>2.5</v>
      </c>
      <c r="AD20" s="17">
        <f>Table2427245[[#This Row],[Total travel time in hr]]/(Table2427245[[#This Row],[Total travel time in hr]]+HOUR(Table2427245[[#This Row],[Total Work Hours]])+MINUTE(Table2427245[[#This Row],[Total Work Hours]])/60)</f>
        <v>0.19230769230769232</v>
      </c>
      <c r="AE20" s="7">
        <f>Table2427245[[#This Row],[Total travel time in hr]]/24</f>
        <v>0.10416666666666667</v>
      </c>
      <c r="AF20" s="8">
        <f>Table2427245[[#This Row],[Total travel time in hr]]*22</f>
        <v>55</v>
      </c>
      <c r="AG20" s="8">
        <f>Table2427245[[#This Row],[Total travel time (hr) in a month (22 days)]]/24</f>
        <v>2.2916666666666665</v>
      </c>
      <c r="AH20" s="9">
        <f>Table2427245[[#This Row],[Travel cost]]+Table2427245[[#This Row],[Travel cost ]]</f>
        <v>55</v>
      </c>
      <c r="AI20" s="9">
        <f>Table2427245[[#This Row],[Total Cost]]*22</f>
        <v>1210</v>
      </c>
      <c r="AJ20" s="8">
        <f>24-Table2427245[[#This Row],[Total Work Hours in Decimals]]-Table2427245[[#This Row],[Total travel time (hr) in a month (22 days)]]/22</f>
        <v>11</v>
      </c>
      <c r="AK20" s="11"/>
    </row>
    <row r="21" spans="1:37" x14ac:dyDescent="0.25">
      <c r="A21" s="11" t="s">
        <v>36</v>
      </c>
      <c r="B21" s="11" t="s">
        <v>37</v>
      </c>
      <c r="C21" s="11" t="s">
        <v>12</v>
      </c>
      <c r="D21" s="11">
        <f>IF(Table2427245[[#This Row],[Workplace Location]]="Taguig",IF(Table2427245[[#This Row],[Marital Status]]="Single",1,0),"na")</f>
        <v>1</v>
      </c>
      <c r="E21" s="11" t="s">
        <v>16</v>
      </c>
      <c r="F21" s="11" t="s">
        <v>44</v>
      </c>
      <c r="H21" s="11" t="s">
        <v>41</v>
      </c>
      <c r="J21" s="11">
        <f>IF(Table2427245[[#This Row],[Location of Residence]]=Table2427245[[#This Row],[Workplace Location]],1,0)</f>
        <v>0</v>
      </c>
      <c r="K21" s="11" cm="1">
        <f t="array" ref="K21">IF(Table2427245[[#This Row],[Workplace Location]]="Taguig",IF(Table2427245[[#This Row],[Location of Residence]]=Table2427245[[#This Row],[Workplace Location]],1,0),null)</f>
        <v>0</v>
      </c>
      <c r="L21" s="6">
        <v>0.58333333333333337</v>
      </c>
      <c r="M21" s="12">
        <v>0.52083333333333337</v>
      </c>
      <c r="N21" s="12">
        <v>0.60416666666666663</v>
      </c>
      <c r="O21"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8.3333333333333259E-2</v>
      </c>
      <c r="P21" s="14">
        <f>Table2427245[[#This Row],[Travel Time from Home to Work]]*24</f>
        <v>1.9999999999999982</v>
      </c>
      <c r="Q21" s="14">
        <f>IF(Table2427245[[#This Row],[Workplace Location]]="Taguig",Table2427245[[#This Row],[Travel Time from Home to Work in Decimals]],"na")</f>
        <v>1.9999999999999982</v>
      </c>
      <c r="R21" s="23">
        <v>100</v>
      </c>
      <c r="S21" s="23">
        <f>IF(Table2427245[[#This Row],[Workplace Location]]="Taguig",Table2427245[[#This Row],[Travel cost ]],"na")</f>
        <v>100</v>
      </c>
      <c r="T21" s="6">
        <v>2.0833333333333332E-2</v>
      </c>
      <c r="U21" s="12">
        <v>2.0833333333333332E-2</v>
      </c>
      <c r="V21" s="12">
        <v>4.1666666666666664E-2</v>
      </c>
      <c r="W21" s="13">
        <f>IF(Table2427245[[#This Row],[End of Work (time)]]&lt;Table2427245[[#This Row],[Start of Work (time)]],Table2427245[[#This Row],[End of Work (time)]]+24-Table2427245[[#This Row],[Start of Work (time)]],Table2427245[[#This Row],[End of Work (time)]]-Table2427245[[#This Row],[Start of Work (time)]])</f>
        <v>23.4375</v>
      </c>
      <c r="X21" s="14">
        <f>HOUR(Table2427245[[#This Row],[Total Work Hours]])+MINUTE(Table2427245[[#This Row],[Total Work Hours]])/60</f>
        <v>10.5</v>
      </c>
      <c r="Y21"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2.0833333333333332E-2</v>
      </c>
      <c r="Z21" s="16">
        <f>Table2427245[[#This Row],[Travel Time from Work to Home]]*24</f>
        <v>0.5</v>
      </c>
      <c r="AA21" s="23">
        <v>0</v>
      </c>
      <c r="AB21" s="13">
        <f>Table2427245[[#This Row],[Travel Time from Work to Home]]+Table2427245[[#This Row],[Travel Time from Home to Work]]</f>
        <v>0.10416666666666659</v>
      </c>
      <c r="AC21" s="14">
        <f>HOUR(Table2427245[[#This Row],[Total Travel Time]])+MINUTE(Table2427245[[#This Row],[Total Travel Time]])/60</f>
        <v>2.5</v>
      </c>
      <c r="AD21" s="17">
        <f>Table2427245[[#This Row],[Total travel time in hr]]/(Table2427245[[#This Row],[Total travel time in hr]]+HOUR(Table2427245[[#This Row],[Total Work Hours]])+MINUTE(Table2427245[[#This Row],[Total Work Hours]])/60)</f>
        <v>0.19230769230769232</v>
      </c>
      <c r="AE21" s="7">
        <f>Table2427245[[#This Row],[Total travel time in hr]]/24</f>
        <v>0.10416666666666667</v>
      </c>
      <c r="AF21" s="8">
        <f>Table2427245[[#This Row],[Total travel time in hr]]*22</f>
        <v>55</v>
      </c>
      <c r="AG21" s="8">
        <f>Table2427245[[#This Row],[Total travel time (hr) in a month (22 days)]]/24</f>
        <v>2.2916666666666665</v>
      </c>
      <c r="AH21" s="9">
        <f>Table2427245[[#This Row],[Travel cost]]+Table2427245[[#This Row],[Travel cost ]]</f>
        <v>100</v>
      </c>
      <c r="AI21" s="9">
        <f>Table2427245[[#This Row],[Total Cost]]*22</f>
        <v>2200</v>
      </c>
      <c r="AJ21" s="8">
        <f>24-Table2427245[[#This Row],[Total Work Hours in Decimals]]-Table2427245[[#This Row],[Total travel time (hr) in a month (22 days)]]/22</f>
        <v>11</v>
      </c>
      <c r="AK21" s="11"/>
    </row>
    <row r="22" spans="1:37" x14ac:dyDescent="0.25">
      <c r="A22" s="11" t="s">
        <v>36</v>
      </c>
      <c r="B22" s="11" t="s">
        <v>40</v>
      </c>
      <c r="C22" s="11" t="s">
        <v>12</v>
      </c>
      <c r="D22" s="11">
        <f>IF(Table2427245[[#This Row],[Workplace Location]]="Taguig",IF(Table2427245[[#This Row],[Marital Status]]="Single",1,0),"na")</f>
        <v>1</v>
      </c>
      <c r="E22" s="11" t="s">
        <v>16</v>
      </c>
      <c r="F22" s="11" t="s">
        <v>44</v>
      </c>
      <c r="H22" s="11" t="s">
        <v>41</v>
      </c>
      <c r="J22" s="11">
        <f>IF(Table2427245[[#This Row],[Location of Residence]]=Table2427245[[#This Row],[Workplace Location]],1,0)</f>
        <v>0</v>
      </c>
      <c r="K22" s="11" cm="1">
        <f t="array" ref="K22">IF(Table2427245[[#This Row],[Workplace Location]]="Taguig",IF(Table2427245[[#This Row],[Location of Residence]]=Table2427245[[#This Row],[Workplace Location]],1,0),null)</f>
        <v>0</v>
      </c>
      <c r="L22" s="6">
        <v>0.625</v>
      </c>
      <c r="M22" s="12">
        <v>0.5625</v>
      </c>
      <c r="N22" s="12">
        <v>0.61458333333333337</v>
      </c>
      <c r="O22"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5.208333333333337E-2</v>
      </c>
      <c r="P22" s="14">
        <f>Table2427245[[#This Row],[Travel Time from Home to Work]]*24</f>
        <v>1.2500000000000009</v>
      </c>
      <c r="Q22" s="14">
        <f>IF(Table2427245[[#This Row],[Workplace Location]]="Taguig",Table2427245[[#This Row],[Travel Time from Home to Work in Decimals]],"na")</f>
        <v>1.2500000000000009</v>
      </c>
      <c r="R22" s="23">
        <v>200</v>
      </c>
      <c r="S22" s="23">
        <f>IF(Table2427245[[#This Row],[Workplace Location]]="Taguig",Table2427245[[#This Row],[Travel cost ]],"na")</f>
        <v>200</v>
      </c>
      <c r="T22" s="6">
        <v>2.0833333333333332E-2</v>
      </c>
      <c r="U22" s="12">
        <v>2.0833333333333332E-2</v>
      </c>
      <c r="V22" s="12">
        <v>6.8749999999999992E-2</v>
      </c>
      <c r="W22" s="13">
        <f>IF(Table2427245[[#This Row],[End of Work (time)]]&lt;Table2427245[[#This Row],[Start of Work (time)]],Table2427245[[#This Row],[End of Work (time)]]+24-Table2427245[[#This Row],[Start of Work (time)]],Table2427245[[#This Row],[End of Work (time)]]-Table2427245[[#This Row],[Start of Work (time)]])</f>
        <v>23.395833333333332</v>
      </c>
      <c r="X22" s="14">
        <f>HOUR(Table2427245[[#This Row],[Total Work Hours]])+MINUTE(Table2427245[[#This Row],[Total Work Hours]])/60</f>
        <v>9.5</v>
      </c>
      <c r="Y22"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4.7916666666666663E-2</v>
      </c>
      <c r="Z22" s="16">
        <f>Table2427245[[#This Row],[Travel Time from Work to Home]]*24</f>
        <v>1.1499999999999999</v>
      </c>
      <c r="AA22" s="23">
        <v>0</v>
      </c>
      <c r="AB22" s="13">
        <f>Table2427245[[#This Row],[Travel Time from Work to Home]]+Table2427245[[#This Row],[Travel Time from Home to Work]]</f>
        <v>0.10000000000000003</v>
      </c>
      <c r="AC22" s="14">
        <f>HOUR(Table2427245[[#This Row],[Total Travel Time]])+MINUTE(Table2427245[[#This Row],[Total Travel Time]])/60</f>
        <v>2.4</v>
      </c>
      <c r="AD22" s="17">
        <f>Table2427245[[#This Row],[Total travel time in hr]]/(Table2427245[[#This Row],[Total travel time in hr]]+HOUR(Table2427245[[#This Row],[Total Work Hours]])+MINUTE(Table2427245[[#This Row],[Total Work Hours]])/60)</f>
        <v>0.20168067226890754</v>
      </c>
      <c r="AE22" s="7">
        <f>Table2427245[[#This Row],[Total travel time in hr]]/24</f>
        <v>9.9999999999999992E-2</v>
      </c>
      <c r="AF22" s="8">
        <f>Table2427245[[#This Row],[Total travel time in hr]]*22</f>
        <v>52.8</v>
      </c>
      <c r="AG22" s="8">
        <f>Table2427245[[#This Row],[Total travel time (hr) in a month (22 days)]]/24</f>
        <v>2.1999999999999997</v>
      </c>
      <c r="AH22" s="9">
        <f>Table2427245[[#This Row],[Travel cost]]+Table2427245[[#This Row],[Travel cost ]]</f>
        <v>200</v>
      </c>
      <c r="AI22" s="9">
        <f>Table2427245[[#This Row],[Total Cost]]*22</f>
        <v>4400</v>
      </c>
      <c r="AJ22" s="8">
        <f>24-Table2427245[[#This Row],[Total Work Hours in Decimals]]-Table2427245[[#This Row],[Total travel time (hr) in a month (22 days)]]/22</f>
        <v>12.1</v>
      </c>
      <c r="AK22" s="11"/>
    </row>
    <row r="23" spans="1:37" x14ac:dyDescent="0.25">
      <c r="A23" s="11" t="s">
        <v>53</v>
      </c>
      <c r="B23" s="11" t="s">
        <v>37</v>
      </c>
      <c r="C23" s="11" t="s">
        <v>13</v>
      </c>
      <c r="D23" s="11" t="str">
        <f>IF(Table2427245[[#This Row],[Workplace Location]]="Taguig",IF(Table2427245[[#This Row],[Marital Status]]="Single",1,0),"na")</f>
        <v>na</v>
      </c>
      <c r="E23" s="11" t="s">
        <v>16</v>
      </c>
      <c r="F23" s="11" t="s">
        <v>54</v>
      </c>
      <c r="H23" s="11" t="s">
        <v>46</v>
      </c>
      <c r="J23" s="11">
        <f>IF(Table2427245[[#This Row],[Location of Residence]]=Table2427245[[#This Row],[Workplace Location]],1,0)</f>
        <v>0</v>
      </c>
      <c r="K23" s="11" t="e" cm="1">
        <f t="array" ref="K23">IF(Table2427245[[#This Row],[Workplace Location]]="Taguig",IF(Table2427245[[#This Row],[Location of Residence]]=Table2427245[[#This Row],[Workplace Location]],1,0),null)</f>
        <v>#NAME?</v>
      </c>
      <c r="L23" s="6">
        <v>0.58333333333333337</v>
      </c>
      <c r="M23" s="12">
        <v>0.5</v>
      </c>
      <c r="N23" s="12">
        <v>0.5625</v>
      </c>
      <c r="O23"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6.25E-2</v>
      </c>
      <c r="P23" s="14">
        <f>Table2427245[[#This Row],[Travel Time from Home to Work]]*24</f>
        <v>1.5</v>
      </c>
      <c r="Q23" s="14" t="str">
        <f>IF(Table2427245[[#This Row],[Workplace Location]]="Taguig",Table2427245[[#This Row],[Travel Time from Home to Work in Decimals]],"na")</f>
        <v>na</v>
      </c>
      <c r="R23" s="23">
        <v>50</v>
      </c>
      <c r="S23" s="23" t="str">
        <f>IF(Table2427245[[#This Row],[Workplace Location]]="Taguig",Table2427245[[#This Row],[Travel cost ]],"na")</f>
        <v>na</v>
      </c>
      <c r="T23" s="6">
        <v>0.92361111111111116</v>
      </c>
      <c r="U23" s="12">
        <v>0.92708333333333337</v>
      </c>
      <c r="V23" s="12">
        <v>0.97916666666666663</v>
      </c>
      <c r="W23" s="13">
        <f>IF(Table2427245[[#This Row],[End of Work (time)]]&lt;Table2427245[[#This Row],[Start of Work (time)]],Table2427245[[#This Row],[End of Work (time)]]+24-Table2427245[[#This Row],[Start of Work (time)]],Table2427245[[#This Row],[End of Work (time)]]-Table2427245[[#This Row],[Start of Work (time)]])</f>
        <v>0.34027777777777779</v>
      </c>
      <c r="X23" s="14">
        <f>HOUR(Table2427245[[#This Row],[Total Work Hours]])+MINUTE(Table2427245[[#This Row],[Total Work Hours]])/60</f>
        <v>8.1666666666666661</v>
      </c>
      <c r="Y23"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5.2083333333333259E-2</v>
      </c>
      <c r="Z23" s="16">
        <f>Table2427245[[#This Row],[Travel Time from Work to Home]]*24</f>
        <v>1.2499999999999982</v>
      </c>
      <c r="AA23" s="23">
        <v>0</v>
      </c>
      <c r="AB23" s="13">
        <f>Table2427245[[#This Row],[Travel Time from Work to Home]]+Table2427245[[#This Row],[Travel Time from Home to Work]]</f>
        <v>0.11458333333333326</v>
      </c>
      <c r="AC23" s="14">
        <f>HOUR(Table2427245[[#This Row],[Total Travel Time]])+MINUTE(Table2427245[[#This Row],[Total Travel Time]])/60</f>
        <v>2.75</v>
      </c>
      <c r="AD23" s="17">
        <f>Table2427245[[#This Row],[Total travel time in hr]]/(Table2427245[[#This Row],[Total travel time in hr]]+HOUR(Table2427245[[#This Row],[Total Work Hours]])+MINUTE(Table2427245[[#This Row],[Total Work Hours]])/60)</f>
        <v>0.25190839694656492</v>
      </c>
      <c r="AE23" s="7">
        <f>Table2427245[[#This Row],[Total travel time in hr]]/24</f>
        <v>0.11458333333333333</v>
      </c>
      <c r="AF23" s="8">
        <f>Table2427245[[#This Row],[Total travel time in hr]]*22</f>
        <v>60.5</v>
      </c>
      <c r="AG23" s="8">
        <f>Table2427245[[#This Row],[Total travel time (hr) in a month (22 days)]]/24</f>
        <v>2.5208333333333335</v>
      </c>
      <c r="AH23" s="9">
        <f>Table2427245[[#This Row],[Travel cost]]+Table2427245[[#This Row],[Travel cost ]]</f>
        <v>50</v>
      </c>
      <c r="AI23" s="9">
        <f>Table2427245[[#This Row],[Total Cost]]*22</f>
        <v>1100</v>
      </c>
      <c r="AJ23" s="8">
        <f>24-Table2427245[[#This Row],[Total Work Hours in Decimals]]-Table2427245[[#This Row],[Total travel time (hr) in a month (22 days)]]/22</f>
        <v>13.083333333333334</v>
      </c>
      <c r="AK23" s="11"/>
    </row>
    <row r="24" spans="1:37" x14ac:dyDescent="0.25">
      <c r="A24" s="11" t="s">
        <v>36</v>
      </c>
      <c r="B24" s="11" t="s">
        <v>60</v>
      </c>
      <c r="C24" s="11" t="s">
        <v>12</v>
      </c>
      <c r="D24" s="11" t="str">
        <f>IF(Table2427245[[#This Row],[Workplace Location]]="Taguig",IF(Table2427245[[#This Row],[Marital Status]]="Single",1,0),"na")</f>
        <v>na</v>
      </c>
      <c r="E24" s="11" t="s">
        <v>16</v>
      </c>
      <c r="F24" s="11" t="s">
        <v>46</v>
      </c>
      <c r="H24" s="11" t="s">
        <v>39</v>
      </c>
      <c r="J24" s="11">
        <f>IF(Table2427245[[#This Row],[Location of Residence]]=Table2427245[[#This Row],[Workplace Location]],1,0)</f>
        <v>0</v>
      </c>
      <c r="K24" s="11" t="e" cm="1">
        <f t="array" ref="K24">IF(Table2427245[[#This Row],[Workplace Location]]="Taguig",IF(Table2427245[[#This Row],[Location of Residence]]=Table2427245[[#This Row],[Workplace Location]],1,0),null)</f>
        <v>#NAME?</v>
      </c>
      <c r="L24" s="6">
        <v>0.41666666666666669</v>
      </c>
      <c r="M24" s="12">
        <v>0.29166666666666669</v>
      </c>
      <c r="N24" s="12">
        <v>0.39583333333333331</v>
      </c>
      <c r="O24"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0.10416666666666663</v>
      </c>
      <c r="P24" s="14">
        <f>Table2427245[[#This Row],[Travel Time from Home to Work]]*24</f>
        <v>2.4999999999999991</v>
      </c>
      <c r="Q24" s="14" t="str">
        <f>IF(Table2427245[[#This Row],[Workplace Location]]="Taguig",Table2427245[[#This Row],[Travel Time from Home to Work in Decimals]],"na")</f>
        <v>na</v>
      </c>
      <c r="R24" s="23">
        <v>60</v>
      </c>
      <c r="S24" s="23" t="str">
        <f>IF(Table2427245[[#This Row],[Workplace Location]]="Taguig",Table2427245[[#This Row],[Travel cost ]],"na")</f>
        <v>na</v>
      </c>
      <c r="T24" s="6">
        <v>0.875</v>
      </c>
      <c r="U24" s="12">
        <v>0.875</v>
      </c>
      <c r="V24" s="12">
        <v>0.9375</v>
      </c>
      <c r="W24" s="13">
        <f>IF(Table2427245[[#This Row],[End of Work (time)]]&lt;Table2427245[[#This Row],[Start of Work (time)]],Table2427245[[#This Row],[End of Work (time)]]+24-Table2427245[[#This Row],[Start of Work (time)]],Table2427245[[#This Row],[End of Work (time)]]-Table2427245[[#This Row],[Start of Work (time)]])</f>
        <v>0.45833333333333331</v>
      </c>
      <c r="X24" s="14">
        <f>HOUR(Table2427245[[#This Row],[Total Work Hours]])+MINUTE(Table2427245[[#This Row],[Total Work Hours]])/60</f>
        <v>11</v>
      </c>
      <c r="Y24"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6.25E-2</v>
      </c>
      <c r="Z24" s="16">
        <f>Table2427245[[#This Row],[Travel Time from Work to Home]]*24</f>
        <v>1.5</v>
      </c>
      <c r="AA24" s="23">
        <v>60</v>
      </c>
      <c r="AB24" s="13">
        <f>Table2427245[[#This Row],[Travel Time from Work to Home]]+Table2427245[[#This Row],[Travel Time from Home to Work]]</f>
        <v>0.16666666666666663</v>
      </c>
      <c r="AC24" s="14">
        <f>HOUR(Table2427245[[#This Row],[Total Travel Time]])+MINUTE(Table2427245[[#This Row],[Total Travel Time]])/60</f>
        <v>4</v>
      </c>
      <c r="AD24" s="17">
        <f>Table2427245[[#This Row],[Total travel time in hr]]/(Table2427245[[#This Row],[Total travel time in hr]]+HOUR(Table2427245[[#This Row],[Total Work Hours]])+MINUTE(Table2427245[[#This Row],[Total Work Hours]])/60)</f>
        <v>0.26666666666666666</v>
      </c>
      <c r="AE24" s="7">
        <f>Table2427245[[#This Row],[Total travel time in hr]]/24</f>
        <v>0.16666666666666666</v>
      </c>
      <c r="AF24" s="8">
        <f>Table2427245[[#This Row],[Total travel time in hr]]*22</f>
        <v>88</v>
      </c>
      <c r="AG24" s="8">
        <f>Table2427245[[#This Row],[Total travel time (hr) in a month (22 days)]]/24</f>
        <v>3.6666666666666665</v>
      </c>
      <c r="AH24" s="9">
        <f>Table2427245[[#This Row],[Travel cost]]+Table2427245[[#This Row],[Travel cost ]]</f>
        <v>120</v>
      </c>
      <c r="AI24" s="9">
        <f>Table2427245[[#This Row],[Total Cost]]*22</f>
        <v>2640</v>
      </c>
      <c r="AJ24" s="8">
        <f>24-Table2427245[[#This Row],[Total Work Hours in Decimals]]-Table2427245[[#This Row],[Total travel time (hr) in a month (22 days)]]/22</f>
        <v>9</v>
      </c>
      <c r="AK24" s="11"/>
    </row>
    <row r="25" spans="1:37" x14ac:dyDescent="0.25">
      <c r="A25" s="11" t="s">
        <v>36</v>
      </c>
      <c r="B25" s="11" t="s">
        <v>40</v>
      </c>
      <c r="C25" s="11" t="s">
        <v>12</v>
      </c>
      <c r="D25" s="11" t="str">
        <f>IF(Table2427245[[#This Row],[Workplace Location]]="Taguig",IF(Table2427245[[#This Row],[Marital Status]]="Single",1,0),"na")</f>
        <v>na</v>
      </c>
      <c r="E25" s="11" t="s">
        <v>16</v>
      </c>
      <c r="F25" s="11" t="s">
        <v>46</v>
      </c>
      <c r="H25" s="11" t="s">
        <v>47</v>
      </c>
      <c r="J25" s="11">
        <f>IF(Table2427245[[#This Row],[Location of Residence]]=Table2427245[[#This Row],[Workplace Location]],1,0)</f>
        <v>0</v>
      </c>
      <c r="K25" s="11" t="e" cm="1">
        <f t="array" ref="K25">IF(Table2427245[[#This Row],[Workplace Location]]="Taguig",IF(Table2427245[[#This Row],[Location of Residence]]=Table2427245[[#This Row],[Workplace Location]],1,0),null)</f>
        <v>#NAME?</v>
      </c>
      <c r="L25" s="6">
        <v>0.33333333333333331</v>
      </c>
      <c r="M25" s="12">
        <v>0.16666666666666666</v>
      </c>
      <c r="N25" s="12">
        <v>0.27083333333333331</v>
      </c>
      <c r="O25"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0.10416666666666666</v>
      </c>
      <c r="P25" s="14">
        <f>Table2427245[[#This Row],[Travel Time from Home to Work]]*24</f>
        <v>2.5</v>
      </c>
      <c r="Q25" s="14" t="str">
        <f>IF(Table2427245[[#This Row],[Workplace Location]]="Taguig",Table2427245[[#This Row],[Travel Time from Home to Work in Decimals]],"na")</f>
        <v>na</v>
      </c>
      <c r="R25" s="23">
        <v>100</v>
      </c>
      <c r="S25" s="23" t="str">
        <f>IF(Table2427245[[#This Row],[Workplace Location]]="Taguig",Table2427245[[#This Row],[Travel cost ]],"na")</f>
        <v>na</v>
      </c>
      <c r="T25" s="6">
        <v>0.70833333333333337</v>
      </c>
      <c r="U25" s="12">
        <v>0.70833333333333337</v>
      </c>
      <c r="V25" s="12">
        <v>0.875</v>
      </c>
      <c r="W25" s="13">
        <f>IF(Table2427245[[#This Row],[End of Work (time)]]&lt;Table2427245[[#This Row],[Start of Work (time)]],Table2427245[[#This Row],[End of Work (time)]]+24-Table2427245[[#This Row],[Start of Work (time)]],Table2427245[[#This Row],[End of Work (time)]]-Table2427245[[#This Row],[Start of Work (time)]])</f>
        <v>0.37500000000000006</v>
      </c>
      <c r="X25" s="14">
        <f>HOUR(Table2427245[[#This Row],[Total Work Hours]])+MINUTE(Table2427245[[#This Row],[Total Work Hours]])/60</f>
        <v>9</v>
      </c>
      <c r="Y25"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0.16666666666666663</v>
      </c>
      <c r="Z25" s="16">
        <f>Table2427245[[#This Row],[Travel Time from Work to Home]]*24</f>
        <v>3.9999999999999991</v>
      </c>
      <c r="AA25" s="23">
        <v>100</v>
      </c>
      <c r="AB25" s="13">
        <f>Table2427245[[#This Row],[Travel Time from Work to Home]]+Table2427245[[#This Row],[Travel Time from Home to Work]]</f>
        <v>0.27083333333333326</v>
      </c>
      <c r="AC25" s="14">
        <f>HOUR(Table2427245[[#This Row],[Total Travel Time]])+MINUTE(Table2427245[[#This Row],[Total Travel Time]])/60</f>
        <v>6.5</v>
      </c>
      <c r="AD25" s="17">
        <f>Table2427245[[#This Row],[Total travel time in hr]]/(Table2427245[[#This Row],[Total travel time in hr]]+HOUR(Table2427245[[#This Row],[Total Work Hours]])+MINUTE(Table2427245[[#This Row],[Total Work Hours]])/60)</f>
        <v>0.41935483870967744</v>
      </c>
      <c r="AE25" s="7">
        <f>Table2427245[[#This Row],[Total travel time in hr]]/24</f>
        <v>0.27083333333333331</v>
      </c>
      <c r="AF25" s="8">
        <f>Table2427245[[#This Row],[Total travel time in hr]]*22</f>
        <v>143</v>
      </c>
      <c r="AG25" s="8">
        <f>Table2427245[[#This Row],[Total travel time (hr) in a month (22 days)]]/24</f>
        <v>5.958333333333333</v>
      </c>
      <c r="AH25" s="9">
        <f>Table2427245[[#This Row],[Travel cost]]+Table2427245[[#This Row],[Travel cost ]]</f>
        <v>200</v>
      </c>
      <c r="AI25" s="9">
        <f>Table2427245[[#This Row],[Total Cost]]*22</f>
        <v>4400</v>
      </c>
      <c r="AJ25" s="8">
        <f>24-Table2427245[[#This Row],[Total Work Hours in Decimals]]-Table2427245[[#This Row],[Total travel time (hr) in a month (22 days)]]/22</f>
        <v>8.5</v>
      </c>
      <c r="AK25" s="11"/>
    </row>
    <row r="26" spans="1:37" x14ac:dyDescent="0.25">
      <c r="A26" s="11" t="s">
        <v>36</v>
      </c>
      <c r="B26" s="11" t="s">
        <v>37</v>
      </c>
      <c r="C26" s="11" t="s">
        <v>12</v>
      </c>
      <c r="D26" s="11" t="str">
        <f>IF(Table2427245[[#This Row],[Workplace Location]]="Taguig",IF(Table2427245[[#This Row],[Marital Status]]="Single",1,0),"na")</f>
        <v>na</v>
      </c>
      <c r="E26" s="11" t="s">
        <v>14</v>
      </c>
      <c r="F26" s="11" t="s">
        <v>42</v>
      </c>
      <c r="G26" s="11" t="s">
        <v>43</v>
      </c>
      <c r="H26" s="11" t="s">
        <v>46</v>
      </c>
      <c r="J26" s="11">
        <f>IF(Table2427245[[#This Row],[Location of Residence]]=Table2427245[[#This Row],[Workplace Location]],1,0)</f>
        <v>0</v>
      </c>
      <c r="K26" s="11" t="e" cm="1">
        <f t="array" ref="K26">IF(Table2427245[[#This Row],[Workplace Location]]="Taguig",IF(Table2427245[[#This Row],[Location of Residence]]=Table2427245[[#This Row],[Workplace Location]],1,0),null)</f>
        <v>#NAME?</v>
      </c>
      <c r="L26" s="6">
        <v>0.33333333333333331</v>
      </c>
      <c r="M26" s="12">
        <v>0.29166666666666669</v>
      </c>
      <c r="N26" s="12">
        <v>0.33333333333333331</v>
      </c>
      <c r="O26"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4.166666666666663E-2</v>
      </c>
      <c r="P26" s="14">
        <f>Table2427245[[#This Row],[Travel Time from Home to Work]]*24</f>
        <v>0.99999999999999911</v>
      </c>
      <c r="Q26" s="14" t="str">
        <f>IF(Table2427245[[#This Row],[Workplace Location]]="Taguig",Table2427245[[#This Row],[Travel Time from Home to Work in Decimals]],"na")</f>
        <v>na</v>
      </c>
      <c r="R26" s="23">
        <v>100</v>
      </c>
      <c r="S26" s="23" t="str">
        <f>IF(Table2427245[[#This Row],[Workplace Location]]="Taguig",Table2427245[[#This Row],[Travel cost ]],"na")</f>
        <v>na</v>
      </c>
      <c r="T26" s="6">
        <v>0.70833333333333337</v>
      </c>
      <c r="U26" s="12">
        <v>0.70833333333333337</v>
      </c>
      <c r="V26" s="12">
        <v>0.79166666666666663</v>
      </c>
      <c r="W26" s="13">
        <f>IF(Table2427245[[#This Row],[End of Work (time)]]&lt;Table2427245[[#This Row],[Start of Work (time)]],Table2427245[[#This Row],[End of Work (time)]]+24-Table2427245[[#This Row],[Start of Work (time)]],Table2427245[[#This Row],[End of Work (time)]]-Table2427245[[#This Row],[Start of Work (time)]])</f>
        <v>0.37500000000000006</v>
      </c>
      <c r="X26" s="14">
        <f>HOUR(Table2427245[[#This Row],[Total Work Hours]])+MINUTE(Table2427245[[#This Row],[Total Work Hours]])/60</f>
        <v>9</v>
      </c>
      <c r="Y26"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8.3333333333333259E-2</v>
      </c>
      <c r="Z26" s="16">
        <f>Table2427245[[#This Row],[Travel Time from Work to Home]]*24</f>
        <v>1.9999999999999982</v>
      </c>
      <c r="AA26" s="23">
        <v>100</v>
      </c>
      <c r="AB26" s="13">
        <f>Table2427245[[#This Row],[Travel Time from Work to Home]]+Table2427245[[#This Row],[Travel Time from Home to Work]]</f>
        <v>0.12499999999999989</v>
      </c>
      <c r="AC26" s="14">
        <f>HOUR(Table2427245[[#This Row],[Total Travel Time]])+MINUTE(Table2427245[[#This Row],[Total Travel Time]])/60</f>
        <v>3</v>
      </c>
      <c r="AD26" s="17">
        <f>Table2427245[[#This Row],[Total travel time in hr]]/(Table2427245[[#This Row],[Total travel time in hr]]+HOUR(Table2427245[[#This Row],[Total Work Hours]])+MINUTE(Table2427245[[#This Row],[Total Work Hours]])/60)</f>
        <v>0.25</v>
      </c>
      <c r="AE26" s="7">
        <f>Table2427245[[#This Row],[Total travel time in hr]]/24</f>
        <v>0.125</v>
      </c>
      <c r="AF26" s="8">
        <f>Table2427245[[#This Row],[Total travel time in hr]]*22</f>
        <v>66</v>
      </c>
      <c r="AG26" s="8">
        <f>Table2427245[[#This Row],[Total travel time (hr) in a month (22 days)]]/24</f>
        <v>2.75</v>
      </c>
      <c r="AH26" s="9">
        <f>Table2427245[[#This Row],[Travel cost]]+Table2427245[[#This Row],[Travel cost ]]</f>
        <v>200</v>
      </c>
      <c r="AI26" s="9">
        <f>Table2427245[[#This Row],[Total Cost]]*22</f>
        <v>4400</v>
      </c>
      <c r="AJ26" s="8">
        <f>24-Table2427245[[#This Row],[Total Work Hours in Decimals]]-Table2427245[[#This Row],[Total travel time (hr) in a month (22 days)]]/22</f>
        <v>12</v>
      </c>
      <c r="AK26" s="11"/>
    </row>
    <row r="27" spans="1:37" x14ac:dyDescent="0.25">
      <c r="A27" s="11" t="s">
        <v>49</v>
      </c>
      <c r="B27" s="11" t="s">
        <v>37</v>
      </c>
      <c r="C27" s="11" t="s">
        <v>13</v>
      </c>
      <c r="D27" s="11" t="str">
        <f>IF(Table2427245[[#This Row],[Workplace Location]]="Taguig",IF(Table2427245[[#This Row],[Marital Status]]="Single",1,0),"na")</f>
        <v>na</v>
      </c>
      <c r="E27" s="11" t="s">
        <v>16</v>
      </c>
      <c r="F27" s="11" t="s">
        <v>42</v>
      </c>
      <c r="G27" s="11" t="s">
        <v>43</v>
      </c>
      <c r="H27" s="11" t="s">
        <v>46</v>
      </c>
      <c r="J27" s="11">
        <f>IF(Table2427245[[#This Row],[Location of Residence]]=Table2427245[[#This Row],[Workplace Location]],1,0)</f>
        <v>0</v>
      </c>
      <c r="K27" s="11" t="e" cm="1">
        <f t="array" ref="K27">IF(Table2427245[[#This Row],[Workplace Location]]="Taguig",IF(Table2427245[[#This Row],[Location of Residence]]=Table2427245[[#This Row],[Workplace Location]],1,0),null)</f>
        <v>#NAME?</v>
      </c>
      <c r="L27" s="6">
        <v>0.25</v>
      </c>
      <c r="M27" s="12">
        <v>0.19791666666666666</v>
      </c>
      <c r="N27" s="12">
        <v>0.22916666666666666</v>
      </c>
      <c r="O27"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3.125E-2</v>
      </c>
      <c r="P27" s="14">
        <f>Table2427245[[#This Row],[Travel Time from Home to Work]]*24</f>
        <v>0.75</v>
      </c>
      <c r="Q27" s="14" t="str">
        <f>IF(Table2427245[[#This Row],[Workplace Location]]="Taguig",Table2427245[[#This Row],[Travel Time from Home to Work in Decimals]],"na")</f>
        <v>na</v>
      </c>
      <c r="R27" s="23">
        <v>50</v>
      </c>
      <c r="S27" s="23" t="str">
        <f>IF(Table2427245[[#This Row],[Workplace Location]]="Taguig",Table2427245[[#This Row],[Travel cost ]],"na")</f>
        <v>na</v>
      </c>
      <c r="T27" s="6">
        <v>0.58333333333333337</v>
      </c>
      <c r="U27" s="12">
        <v>0.58333333333333337</v>
      </c>
      <c r="V27" s="12">
        <v>0.625</v>
      </c>
      <c r="W27" s="13">
        <f>IF(Table2427245[[#This Row],[End of Work (time)]]&lt;Table2427245[[#This Row],[Start of Work (time)]],Table2427245[[#This Row],[End of Work (time)]]+24-Table2427245[[#This Row],[Start of Work (time)]],Table2427245[[#This Row],[End of Work (time)]]-Table2427245[[#This Row],[Start of Work (time)]])</f>
        <v>0.33333333333333337</v>
      </c>
      <c r="X27" s="14">
        <f>HOUR(Table2427245[[#This Row],[Total Work Hours]])+MINUTE(Table2427245[[#This Row],[Total Work Hours]])/60</f>
        <v>8</v>
      </c>
      <c r="Y27"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4.166666666666663E-2</v>
      </c>
      <c r="Z27" s="16">
        <f>Table2427245[[#This Row],[Travel Time from Work to Home]]*24</f>
        <v>0.99999999999999911</v>
      </c>
      <c r="AA27" s="23">
        <v>50</v>
      </c>
      <c r="AB27" s="13">
        <f>Table2427245[[#This Row],[Travel Time from Work to Home]]+Table2427245[[#This Row],[Travel Time from Home to Work]]</f>
        <v>7.291666666666663E-2</v>
      </c>
      <c r="AC27" s="14">
        <f>HOUR(Table2427245[[#This Row],[Total Travel Time]])+MINUTE(Table2427245[[#This Row],[Total Travel Time]])/60</f>
        <v>1.75</v>
      </c>
      <c r="AD27" s="17">
        <f>Table2427245[[#This Row],[Total travel time in hr]]/(Table2427245[[#This Row],[Total travel time in hr]]+HOUR(Table2427245[[#This Row],[Total Work Hours]])+MINUTE(Table2427245[[#This Row],[Total Work Hours]])/60)</f>
        <v>0.17948717948717949</v>
      </c>
      <c r="AE27" s="7">
        <f>Table2427245[[#This Row],[Total travel time in hr]]/24</f>
        <v>7.2916666666666671E-2</v>
      </c>
      <c r="AF27" s="8">
        <f>Table2427245[[#This Row],[Total travel time in hr]]*22</f>
        <v>38.5</v>
      </c>
      <c r="AG27" s="8">
        <f>Table2427245[[#This Row],[Total travel time (hr) in a month (22 days)]]/24</f>
        <v>1.6041666666666667</v>
      </c>
      <c r="AH27" s="9">
        <f>Table2427245[[#This Row],[Travel cost]]+Table2427245[[#This Row],[Travel cost ]]</f>
        <v>100</v>
      </c>
      <c r="AI27" s="9">
        <f>Table2427245[[#This Row],[Total Cost]]*22</f>
        <v>2200</v>
      </c>
      <c r="AJ27" s="8">
        <f>24-Table2427245[[#This Row],[Total Work Hours in Decimals]]-Table2427245[[#This Row],[Total travel time (hr) in a month (22 days)]]/22</f>
        <v>14.25</v>
      </c>
      <c r="AK27" s="11"/>
    </row>
    <row r="28" spans="1:37" x14ac:dyDescent="0.25">
      <c r="A28" s="11" t="s">
        <v>36</v>
      </c>
      <c r="B28" s="11" t="s">
        <v>37</v>
      </c>
      <c r="C28" s="11" t="s">
        <v>12</v>
      </c>
      <c r="D28" s="11" t="str">
        <f>IF(Table2427245[[#This Row],[Workplace Location]]="Taguig",IF(Table2427245[[#This Row],[Marital Status]]="Single",1,0),"na")</f>
        <v>na</v>
      </c>
      <c r="E28" s="11" t="s">
        <v>16</v>
      </c>
      <c r="F28" s="11" t="s">
        <v>42</v>
      </c>
      <c r="G28" s="11" t="s">
        <v>55</v>
      </c>
      <c r="H28" s="11" t="s">
        <v>48</v>
      </c>
      <c r="J28" s="11">
        <f>IF(Table2427245[[#This Row],[Location of Residence]]=Table2427245[[#This Row],[Workplace Location]],1,0)</f>
        <v>0</v>
      </c>
      <c r="K28" s="11" t="e" cm="1">
        <f t="array" ref="K28">IF(Table2427245[[#This Row],[Workplace Location]]="Taguig",IF(Table2427245[[#This Row],[Location of Residence]]=Table2427245[[#This Row],[Workplace Location]],1,0),null)</f>
        <v>#NAME?</v>
      </c>
      <c r="L28" s="6">
        <v>0.35416666666666669</v>
      </c>
      <c r="M28" s="12">
        <v>0.27083333333333331</v>
      </c>
      <c r="N28" s="12">
        <v>0.33333333333333331</v>
      </c>
      <c r="O28"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6.25E-2</v>
      </c>
      <c r="P28" s="14">
        <f>Table2427245[[#This Row],[Travel Time from Home to Work]]*24</f>
        <v>1.5</v>
      </c>
      <c r="Q28" s="14" t="str">
        <f>IF(Table2427245[[#This Row],[Workplace Location]]="Taguig",Table2427245[[#This Row],[Travel Time from Home to Work in Decimals]],"na")</f>
        <v>na</v>
      </c>
      <c r="R28" s="23">
        <v>35</v>
      </c>
      <c r="S28" s="23" t="str">
        <f>IF(Table2427245[[#This Row],[Workplace Location]]="Taguig",Table2427245[[#This Row],[Travel cost ]],"na")</f>
        <v>na</v>
      </c>
      <c r="T28" s="6">
        <v>0.75</v>
      </c>
      <c r="U28" s="12">
        <v>0.75</v>
      </c>
      <c r="V28" s="12">
        <v>0.8125</v>
      </c>
      <c r="W28" s="13">
        <f>IF(Table2427245[[#This Row],[End of Work (time)]]&lt;Table2427245[[#This Row],[Start of Work (time)]],Table2427245[[#This Row],[End of Work (time)]]+24-Table2427245[[#This Row],[Start of Work (time)]],Table2427245[[#This Row],[End of Work (time)]]-Table2427245[[#This Row],[Start of Work (time)]])</f>
        <v>0.39583333333333331</v>
      </c>
      <c r="X28" s="14">
        <f>HOUR(Table2427245[[#This Row],[Total Work Hours]])+MINUTE(Table2427245[[#This Row],[Total Work Hours]])/60</f>
        <v>9.5</v>
      </c>
      <c r="Y28"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6.25E-2</v>
      </c>
      <c r="Z28" s="16">
        <f>Table2427245[[#This Row],[Travel Time from Work to Home]]*24</f>
        <v>1.5</v>
      </c>
      <c r="AA28" s="23">
        <v>50</v>
      </c>
      <c r="AB28" s="13">
        <f>Table2427245[[#This Row],[Travel Time from Work to Home]]+Table2427245[[#This Row],[Travel Time from Home to Work]]</f>
        <v>0.125</v>
      </c>
      <c r="AC28" s="14">
        <f>HOUR(Table2427245[[#This Row],[Total Travel Time]])+MINUTE(Table2427245[[#This Row],[Total Travel Time]])/60</f>
        <v>3</v>
      </c>
      <c r="AD28" s="17">
        <f>Table2427245[[#This Row],[Total travel time in hr]]/(Table2427245[[#This Row],[Total travel time in hr]]+HOUR(Table2427245[[#This Row],[Total Work Hours]])+MINUTE(Table2427245[[#This Row],[Total Work Hours]])/60)</f>
        <v>0.24</v>
      </c>
      <c r="AE28" s="7">
        <f>Table2427245[[#This Row],[Total travel time in hr]]/24</f>
        <v>0.125</v>
      </c>
      <c r="AF28" s="8">
        <f>Table2427245[[#This Row],[Total travel time in hr]]*22</f>
        <v>66</v>
      </c>
      <c r="AG28" s="8">
        <f>Table2427245[[#This Row],[Total travel time (hr) in a month (22 days)]]/24</f>
        <v>2.75</v>
      </c>
      <c r="AH28" s="9">
        <f>Table2427245[[#This Row],[Travel cost]]+Table2427245[[#This Row],[Travel cost ]]</f>
        <v>85</v>
      </c>
      <c r="AI28" s="9">
        <f>Table2427245[[#This Row],[Total Cost]]*22</f>
        <v>1870</v>
      </c>
      <c r="AJ28" s="8">
        <f>24-Table2427245[[#This Row],[Total Work Hours in Decimals]]-Table2427245[[#This Row],[Total travel time (hr) in a month (22 days)]]/22</f>
        <v>11.5</v>
      </c>
      <c r="AK28" s="11"/>
    </row>
    <row r="29" spans="1:37" x14ac:dyDescent="0.25">
      <c r="A29" s="11" t="s">
        <v>36</v>
      </c>
      <c r="B29" s="11" t="s">
        <v>37</v>
      </c>
      <c r="C29" s="11" t="s">
        <v>12</v>
      </c>
      <c r="D29" s="11">
        <f>IF(Table2427245[[#This Row],[Workplace Location]]="Taguig",IF(Table2427245[[#This Row],[Marital Status]]="Single",1,0),"na")</f>
        <v>1</v>
      </c>
      <c r="E29" s="11" t="s">
        <v>16</v>
      </c>
      <c r="F29" s="11" t="s">
        <v>42</v>
      </c>
      <c r="G29" s="11" t="s">
        <v>51</v>
      </c>
      <c r="H29" s="11" t="s">
        <v>41</v>
      </c>
      <c r="J29" s="11">
        <f>IF(Table2427245[[#This Row],[Location of Residence]]=Table2427245[[#This Row],[Workplace Location]],1,0)</f>
        <v>0</v>
      </c>
      <c r="K29" s="11" cm="1">
        <f t="array" ref="K29">IF(Table2427245[[#This Row],[Workplace Location]]="Taguig",IF(Table2427245[[#This Row],[Location of Residence]]=Table2427245[[#This Row],[Workplace Location]],1,0),null)</f>
        <v>0</v>
      </c>
      <c r="L29" s="6">
        <v>0.41666666666666669</v>
      </c>
      <c r="M29" s="12">
        <v>0.29166666666666669</v>
      </c>
      <c r="N29" s="12">
        <v>0.375</v>
      </c>
      <c r="O29"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8.3333333333333315E-2</v>
      </c>
      <c r="P29" s="14">
        <f>Table2427245[[#This Row],[Travel Time from Home to Work]]*24</f>
        <v>1.9999999999999996</v>
      </c>
      <c r="Q29" s="14">
        <f>IF(Table2427245[[#This Row],[Workplace Location]]="Taguig",Table2427245[[#This Row],[Travel Time from Home to Work in Decimals]],"na")</f>
        <v>1.9999999999999996</v>
      </c>
      <c r="R29" s="23">
        <v>60</v>
      </c>
      <c r="S29" s="23">
        <f>IF(Table2427245[[#This Row],[Workplace Location]]="Taguig",Table2427245[[#This Row],[Travel cost ]],"na")</f>
        <v>60</v>
      </c>
      <c r="T29" s="6">
        <v>0.79166666666666663</v>
      </c>
      <c r="U29" s="12">
        <v>0.79166666666666663</v>
      </c>
      <c r="V29" s="12">
        <v>0.875</v>
      </c>
      <c r="W29" s="13">
        <f>IF(Table2427245[[#This Row],[End of Work (time)]]&lt;Table2427245[[#This Row],[Start of Work (time)]],Table2427245[[#This Row],[End of Work (time)]]+24-Table2427245[[#This Row],[Start of Work (time)]],Table2427245[[#This Row],[End of Work (time)]]-Table2427245[[#This Row],[Start of Work (time)]])</f>
        <v>0.37499999999999994</v>
      </c>
      <c r="X29" s="14">
        <f>HOUR(Table2427245[[#This Row],[Total Work Hours]])+MINUTE(Table2427245[[#This Row],[Total Work Hours]])/60</f>
        <v>9</v>
      </c>
      <c r="Y29"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8.333333333333337E-2</v>
      </c>
      <c r="Z29" s="16">
        <f>Table2427245[[#This Row],[Travel Time from Work to Home]]*24</f>
        <v>2.0000000000000009</v>
      </c>
      <c r="AA29" s="23">
        <v>65</v>
      </c>
      <c r="AB29" s="13">
        <f>Table2427245[[#This Row],[Travel Time from Work to Home]]+Table2427245[[#This Row],[Travel Time from Home to Work]]</f>
        <v>0.16666666666666669</v>
      </c>
      <c r="AC29" s="14">
        <f>HOUR(Table2427245[[#This Row],[Total Travel Time]])+MINUTE(Table2427245[[#This Row],[Total Travel Time]])/60</f>
        <v>4</v>
      </c>
      <c r="AD29" s="17">
        <f>Table2427245[[#This Row],[Total travel time in hr]]/(Table2427245[[#This Row],[Total travel time in hr]]+HOUR(Table2427245[[#This Row],[Total Work Hours]])+MINUTE(Table2427245[[#This Row],[Total Work Hours]])/60)</f>
        <v>0.30769230769230771</v>
      </c>
      <c r="AE29" s="7">
        <f>Table2427245[[#This Row],[Total travel time in hr]]/24</f>
        <v>0.16666666666666666</v>
      </c>
      <c r="AF29" s="8">
        <f>Table2427245[[#This Row],[Total travel time in hr]]*22</f>
        <v>88</v>
      </c>
      <c r="AG29" s="8">
        <f>Table2427245[[#This Row],[Total travel time (hr) in a month (22 days)]]/24</f>
        <v>3.6666666666666665</v>
      </c>
      <c r="AH29" s="9">
        <f>Table2427245[[#This Row],[Travel cost]]+Table2427245[[#This Row],[Travel cost ]]</f>
        <v>125</v>
      </c>
      <c r="AI29" s="9">
        <f>Table2427245[[#This Row],[Total Cost]]*22</f>
        <v>2750</v>
      </c>
      <c r="AJ29" s="8">
        <f>24-Table2427245[[#This Row],[Total Work Hours in Decimals]]-Table2427245[[#This Row],[Total travel time (hr) in a month (22 days)]]/22</f>
        <v>11</v>
      </c>
      <c r="AK29" s="11"/>
    </row>
    <row r="30" spans="1:37" x14ac:dyDescent="0.25">
      <c r="A30" s="11" t="s">
        <v>49</v>
      </c>
      <c r="B30" s="11" t="s">
        <v>37</v>
      </c>
      <c r="C30" s="11" t="s">
        <v>12</v>
      </c>
      <c r="D30" s="11">
        <f>IF(Table2427245[[#This Row],[Workplace Location]]="Taguig",IF(Table2427245[[#This Row],[Marital Status]]="Single",1,0),"na")</f>
        <v>1</v>
      </c>
      <c r="E30" s="11" t="s">
        <v>16</v>
      </c>
      <c r="F30" s="11" t="s">
        <v>42</v>
      </c>
      <c r="G30" s="11" t="s">
        <v>52</v>
      </c>
      <c r="H30" s="11" t="s">
        <v>41</v>
      </c>
      <c r="J30" s="11">
        <f>IF(Table2427245[[#This Row],[Location of Residence]]=Table2427245[[#This Row],[Workplace Location]],1,0)</f>
        <v>0</v>
      </c>
      <c r="K30" s="11" cm="1">
        <f t="array" ref="K30">IF(Table2427245[[#This Row],[Workplace Location]]="Taguig",IF(Table2427245[[#This Row],[Location of Residence]]=Table2427245[[#This Row],[Workplace Location]],1,0),null)</f>
        <v>0</v>
      </c>
      <c r="L30" s="6">
        <v>0.58333333333333337</v>
      </c>
      <c r="M30" s="12">
        <v>0.47916666666666669</v>
      </c>
      <c r="N30" s="12">
        <v>0.58333333333333337</v>
      </c>
      <c r="O30"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0.10416666666666669</v>
      </c>
      <c r="P30" s="14">
        <f>Table2427245[[#This Row],[Travel Time from Home to Work]]*24</f>
        <v>2.5000000000000004</v>
      </c>
      <c r="Q30" s="14">
        <f>IF(Table2427245[[#This Row],[Workplace Location]]="Taguig",Table2427245[[#This Row],[Travel Time from Home to Work in Decimals]],"na")</f>
        <v>2.5000000000000004</v>
      </c>
      <c r="R30" s="23">
        <v>102</v>
      </c>
      <c r="S30" s="23">
        <f>IF(Table2427245[[#This Row],[Workplace Location]]="Taguig",Table2427245[[#This Row],[Travel cost ]],"na")</f>
        <v>102</v>
      </c>
      <c r="T30" s="6">
        <v>0</v>
      </c>
      <c r="U30" s="12">
        <v>0</v>
      </c>
      <c r="V30" s="12">
        <v>4.1666666666666664E-2</v>
      </c>
      <c r="W30" s="13">
        <f>IF(Table2427245[[#This Row],[End of Work (time)]]&lt;Table2427245[[#This Row],[Start of Work (time)]],Table2427245[[#This Row],[End of Work (time)]]+24-Table2427245[[#This Row],[Start of Work (time)]],Table2427245[[#This Row],[End of Work (time)]]-Table2427245[[#This Row],[Start of Work (time)]])</f>
        <v>23.416666666666668</v>
      </c>
      <c r="X30" s="14">
        <f>HOUR(Table2427245[[#This Row],[Total Work Hours]])+MINUTE(Table2427245[[#This Row],[Total Work Hours]])/60</f>
        <v>10</v>
      </c>
      <c r="Y30"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4.1666666666666664E-2</v>
      </c>
      <c r="Z30" s="16">
        <f>Table2427245[[#This Row],[Travel Time from Work to Home]]*24</f>
        <v>1</v>
      </c>
      <c r="AA30" s="23">
        <v>0</v>
      </c>
      <c r="AB30" s="13">
        <f>Table2427245[[#This Row],[Travel Time from Work to Home]]+Table2427245[[#This Row],[Travel Time from Home to Work]]</f>
        <v>0.14583333333333334</v>
      </c>
      <c r="AC30" s="14">
        <f>HOUR(Table2427245[[#This Row],[Total Travel Time]])+MINUTE(Table2427245[[#This Row],[Total Travel Time]])/60</f>
        <v>3.5</v>
      </c>
      <c r="AD30" s="17">
        <f>Table2427245[[#This Row],[Total travel time in hr]]/(Table2427245[[#This Row],[Total travel time in hr]]+HOUR(Table2427245[[#This Row],[Total Work Hours]])+MINUTE(Table2427245[[#This Row],[Total Work Hours]])/60)</f>
        <v>0.25925925925925924</v>
      </c>
      <c r="AE30" s="7">
        <f>Table2427245[[#This Row],[Total travel time in hr]]/24</f>
        <v>0.14583333333333334</v>
      </c>
      <c r="AF30" s="8">
        <f>Table2427245[[#This Row],[Total travel time in hr]]*22</f>
        <v>77</v>
      </c>
      <c r="AG30" s="8">
        <f>Table2427245[[#This Row],[Total travel time (hr) in a month (22 days)]]/24</f>
        <v>3.2083333333333335</v>
      </c>
      <c r="AH30" s="9">
        <f>Table2427245[[#This Row],[Travel cost]]+Table2427245[[#This Row],[Travel cost ]]</f>
        <v>102</v>
      </c>
      <c r="AI30" s="9">
        <f>Table2427245[[#This Row],[Total Cost]]*22</f>
        <v>2244</v>
      </c>
      <c r="AJ30" s="8">
        <f>24-Table2427245[[#This Row],[Total Work Hours in Decimals]]-Table2427245[[#This Row],[Total travel time (hr) in a month (22 days)]]/22</f>
        <v>10.5</v>
      </c>
      <c r="AK30" s="11"/>
    </row>
    <row r="31" spans="1:37" x14ac:dyDescent="0.25">
      <c r="A31" s="11" t="s">
        <v>36</v>
      </c>
      <c r="B31" s="11" t="s">
        <v>37</v>
      </c>
      <c r="C31" s="11" t="s">
        <v>12</v>
      </c>
      <c r="D31" s="11">
        <f>IF(Table2427245[[#This Row],[Workplace Location]]="Taguig",IF(Table2427245[[#This Row],[Marital Status]]="Single",1,0),"na")</f>
        <v>1</v>
      </c>
      <c r="E31" s="11" t="s">
        <v>16</v>
      </c>
      <c r="F31" s="11" t="s">
        <v>57</v>
      </c>
      <c r="H31" s="11" t="s">
        <v>41</v>
      </c>
      <c r="J31" s="11">
        <f>IF(Table2427245[[#This Row],[Location of Residence]]=Table2427245[[#This Row],[Workplace Location]],1,0)</f>
        <v>0</v>
      </c>
      <c r="K31" s="11" cm="1">
        <f t="array" ref="K31">IF(Table2427245[[#This Row],[Workplace Location]]="Taguig",IF(Table2427245[[#This Row],[Location of Residence]]=Table2427245[[#This Row],[Workplace Location]],1,0),null)</f>
        <v>0</v>
      </c>
      <c r="L31" s="6">
        <v>0.58333333333333337</v>
      </c>
      <c r="M31" s="12">
        <v>0.5</v>
      </c>
      <c r="N31" s="12">
        <v>0.57291666666666663</v>
      </c>
      <c r="O31"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7.291666666666663E-2</v>
      </c>
      <c r="P31" s="14">
        <f>Table2427245[[#This Row],[Travel Time from Home to Work]]*24</f>
        <v>1.7499999999999991</v>
      </c>
      <c r="Q31" s="14">
        <f>IF(Table2427245[[#This Row],[Workplace Location]]="Taguig",Table2427245[[#This Row],[Travel Time from Home to Work in Decimals]],"na")</f>
        <v>1.7499999999999991</v>
      </c>
      <c r="R31" s="23">
        <v>80</v>
      </c>
      <c r="S31" s="23">
        <f>IF(Table2427245[[#This Row],[Workplace Location]]="Taguig",Table2427245[[#This Row],[Travel cost ]],"na")</f>
        <v>80</v>
      </c>
      <c r="T31" s="6">
        <v>0</v>
      </c>
      <c r="U31" s="12">
        <v>0</v>
      </c>
      <c r="V31" s="12">
        <v>2.0833333333333332E-2</v>
      </c>
      <c r="W31" s="13">
        <f>IF(Table2427245[[#This Row],[End of Work (time)]]&lt;Table2427245[[#This Row],[Start of Work (time)]],Table2427245[[#This Row],[End of Work (time)]]+24-Table2427245[[#This Row],[Start of Work (time)]],Table2427245[[#This Row],[End of Work (time)]]-Table2427245[[#This Row],[Start of Work (time)]])</f>
        <v>23.416666666666668</v>
      </c>
      <c r="X31" s="14">
        <f>HOUR(Table2427245[[#This Row],[Total Work Hours]])+MINUTE(Table2427245[[#This Row],[Total Work Hours]])/60</f>
        <v>10</v>
      </c>
      <c r="Y31"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2.0833333333333332E-2</v>
      </c>
      <c r="Z31" s="16">
        <f>Table2427245[[#This Row],[Travel Time from Work to Home]]*24</f>
        <v>0.5</v>
      </c>
      <c r="AA31" s="23">
        <v>0</v>
      </c>
      <c r="AB31" s="13">
        <f>Table2427245[[#This Row],[Travel Time from Work to Home]]+Table2427245[[#This Row],[Travel Time from Home to Work]]</f>
        <v>9.3749999999999958E-2</v>
      </c>
      <c r="AC31" s="14">
        <f>HOUR(Table2427245[[#This Row],[Total Travel Time]])+MINUTE(Table2427245[[#This Row],[Total Travel Time]])/60</f>
        <v>2.25</v>
      </c>
      <c r="AD31" s="17">
        <f>Table2427245[[#This Row],[Total travel time in hr]]/(Table2427245[[#This Row],[Total travel time in hr]]+HOUR(Table2427245[[#This Row],[Total Work Hours]])+MINUTE(Table2427245[[#This Row],[Total Work Hours]])/60)</f>
        <v>0.18367346938775511</v>
      </c>
      <c r="AE31" s="7">
        <f>Table2427245[[#This Row],[Total travel time in hr]]/24</f>
        <v>9.375E-2</v>
      </c>
      <c r="AF31" s="8">
        <f>Table2427245[[#This Row],[Total travel time in hr]]*22</f>
        <v>49.5</v>
      </c>
      <c r="AG31" s="8">
        <f>Table2427245[[#This Row],[Total travel time (hr) in a month (22 days)]]/24</f>
        <v>2.0625</v>
      </c>
      <c r="AH31" s="9">
        <f>Table2427245[[#This Row],[Travel cost]]+Table2427245[[#This Row],[Travel cost ]]</f>
        <v>80</v>
      </c>
      <c r="AI31" s="9">
        <f>Table2427245[[#This Row],[Total Cost]]*22</f>
        <v>1760</v>
      </c>
      <c r="AJ31" s="8">
        <f>24-Table2427245[[#This Row],[Total Work Hours in Decimals]]-Table2427245[[#This Row],[Total travel time (hr) in a month (22 days)]]/22</f>
        <v>11.75</v>
      </c>
      <c r="AK31" s="11"/>
    </row>
    <row r="32" spans="1:37" x14ac:dyDescent="0.25">
      <c r="A32" s="11" t="s">
        <v>36</v>
      </c>
      <c r="B32" s="11" t="s">
        <v>37</v>
      </c>
      <c r="C32" s="11" t="s">
        <v>12</v>
      </c>
      <c r="D32" s="11">
        <f>IF(Table2427245[[#This Row],[Workplace Location]]="Taguig",IF(Table2427245[[#This Row],[Marital Status]]="Single",1,0),"na")</f>
        <v>1</v>
      </c>
      <c r="E32" s="11" t="s">
        <v>16</v>
      </c>
      <c r="F32" s="11" t="s">
        <v>50</v>
      </c>
      <c r="H32" s="11" t="s">
        <v>41</v>
      </c>
      <c r="J32" s="11">
        <f>IF(Table2427245[[#This Row],[Location of Residence]]=Table2427245[[#This Row],[Workplace Location]],1,0)</f>
        <v>0</v>
      </c>
      <c r="K32" s="11" cm="1">
        <f t="array" ref="K32">IF(Table2427245[[#This Row],[Workplace Location]]="Taguig",IF(Table2427245[[#This Row],[Location of Residence]]=Table2427245[[#This Row],[Workplace Location]],1,0),null)</f>
        <v>0</v>
      </c>
      <c r="L32" s="6">
        <v>0.58333333333333337</v>
      </c>
      <c r="M32" s="12">
        <v>0.58333333333333337</v>
      </c>
      <c r="N32" s="12">
        <v>0.625</v>
      </c>
      <c r="O32"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4.166666666666663E-2</v>
      </c>
      <c r="P32" s="14">
        <f>Table2427245[[#This Row],[Travel Time from Home to Work]]*24</f>
        <v>0.99999999999999911</v>
      </c>
      <c r="Q32" s="14">
        <f>IF(Table2427245[[#This Row],[Workplace Location]]="Taguig",Table2427245[[#This Row],[Travel Time from Home to Work in Decimals]],"na")</f>
        <v>0.99999999999999911</v>
      </c>
      <c r="R32" s="23">
        <v>34</v>
      </c>
      <c r="S32" s="23">
        <f>IF(Table2427245[[#This Row],[Workplace Location]]="Taguig",Table2427245[[#This Row],[Travel cost ]],"na")</f>
        <v>34</v>
      </c>
      <c r="T32" s="6">
        <v>2.0833333333333332E-2</v>
      </c>
      <c r="U32" s="12">
        <v>0</v>
      </c>
      <c r="V32" s="12">
        <v>2.0833333333333332E-2</v>
      </c>
      <c r="W32" s="13">
        <f>IF(Table2427245[[#This Row],[End of Work (time)]]&lt;Table2427245[[#This Row],[Start of Work (time)]],Table2427245[[#This Row],[End of Work (time)]]+24-Table2427245[[#This Row],[Start of Work (time)]],Table2427245[[#This Row],[End of Work (time)]]-Table2427245[[#This Row],[Start of Work (time)]])</f>
        <v>23.4375</v>
      </c>
      <c r="X32" s="14">
        <f>HOUR(Table2427245[[#This Row],[Total Work Hours]])+MINUTE(Table2427245[[#This Row],[Total Work Hours]])/60</f>
        <v>10.5</v>
      </c>
      <c r="Y32"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2.0833333333333332E-2</v>
      </c>
      <c r="Z32" s="16">
        <f>Table2427245[[#This Row],[Travel Time from Work to Home]]*24</f>
        <v>0.5</v>
      </c>
      <c r="AA32" s="23">
        <v>0</v>
      </c>
      <c r="AB32" s="13">
        <f>Table2427245[[#This Row],[Travel Time from Work to Home]]+Table2427245[[#This Row],[Travel Time from Home to Work]]</f>
        <v>6.2499999999999958E-2</v>
      </c>
      <c r="AC32" s="14">
        <f>HOUR(Table2427245[[#This Row],[Total Travel Time]])+MINUTE(Table2427245[[#This Row],[Total Travel Time]])/60</f>
        <v>1.5</v>
      </c>
      <c r="AD32" s="17">
        <f>Table2427245[[#This Row],[Total travel time in hr]]/(Table2427245[[#This Row],[Total travel time in hr]]+HOUR(Table2427245[[#This Row],[Total Work Hours]])+MINUTE(Table2427245[[#This Row],[Total Work Hours]])/60)</f>
        <v>0.125</v>
      </c>
      <c r="AE32" s="7">
        <f>Table2427245[[#This Row],[Total travel time in hr]]/24</f>
        <v>6.25E-2</v>
      </c>
      <c r="AF32" s="8">
        <f>Table2427245[[#This Row],[Total travel time in hr]]*22</f>
        <v>33</v>
      </c>
      <c r="AG32" s="8">
        <f>Table2427245[[#This Row],[Total travel time (hr) in a month (22 days)]]/24</f>
        <v>1.375</v>
      </c>
      <c r="AH32" s="9">
        <f>Table2427245[[#This Row],[Travel cost]]+Table2427245[[#This Row],[Travel cost ]]</f>
        <v>34</v>
      </c>
      <c r="AI32" s="9">
        <f>Table2427245[[#This Row],[Total Cost]]*22</f>
        <v>748</v>
      </c>
      <c r="AJ32" s="8">
        <f>24-Table2427245[[#This Row],[Total Work Hours in Decimals]]-Table2427245[[#This Row],[Total travel time (hr) in a month (22 days)]]/22</f>
        <v>12</v>
      </c>
      <c r="AK32" s="11"/>
    </row>
    <row r="33" spans="1:37" x14ac:dyDescent="0.25">
      <c r="A33" s="11" t="s">
        <v>36</v>
      </c>
      <c r="B33" s="11" t="s">
        <v>40</v>
      </c>
      <c r="C33" s="11" t="s">
        <v>12</v>
      </c>
      <c r="D33" s="11">
        <f>IF(Table2427245[[#This Row],[Workplace Location]]="Taguig",IF(Table2427245[[#This Row],[Marital Status]]="Single",1,0),"na")</f>
        <v>1</v>
      </c>
      <c r="E33" s="11" t="s">
        <v>16</v>
      </c>
      <c r="F33" s="11" t="s">
        <v>48</v>
      </c>
      <c r="H33" s="11" t="s">
        <v>41</v>
      </c>
      <c r="J33" s="11">
        <f>IF(Table2427245[[#This Row],[Location of Residence]]=Table2427245[[#This Row],[Workplace Location]],1,0)</f>
        <v>0</v>
      </c>
      <c r="K33" s="11" cm="1">
        <f t="array" ref="K33">IF(Table2427245[[#This Row],[Workplace Location]]="Taguig",IF(Table2427245[[#This Row],[Location of Residence]]=Table2427245[[#This Row],[Workplace Location]],1,0),null)</f>
        <v>0</v>
      </c>
      <c r="L33" s="6">
        <v>0.58333333333333337</v>
      </c>
      <c r="M33" s="12">
        <v>0.54166666666666663</v>
      </c>
      <c r="N33" s="12">
        <v>0.57291666666666663</v>
      </c>
      <c r="O33"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3.125E-2</v>
      </c>
      <c r="P33" s="14">
        <f>Table2427245[[#This Row],[Travel Time from Home to Work]]*24</f>
        <v>0.75</v>
      </c>
      <c r="Q33" s="14">
        <f>IF(Table2427245[[#This Row],[Workplace Location]]="Taguig",Table2427245[[#This Row],[Travel Time from Home to Work in Decimals]],"na")</f>
        <v>0.75</v>
      </c>
      <c r="R33" s="23">
        <v>43</v>
      </c>
      <c r="S33" s="23">
        <f>IF(Table2427245[[#This Row],[Workplace Location]]="Taguig",Table2427245[[#This Row],[Travel cost ]],"na")</f>
        <v>43</v>
      </c>
      <c r="T33" s="6">
        <v>2.0833333333333332E-2</v>
      </c>
      <c r="U33" s="12">
        <v>2.0833333333333332E-2</v>
      </c>
      <c r="V33" s="12">
        <v>4.1666666666666664E-2</v>
      </c>
      <c r="W33" s="13">
        <f>IF(Table2427245[[#This Row],[End of Work (time)]]&lt;Table2427245[[#This Row],[Start of Work (time)]],Table2427245[[#This Row],[End of Work (time)]]+24-Table2427245[[#This Row],[Start of Work (time)]],Table2427245[[#This Row],[End of Work (time)]]-Table2427245[[#This Row],[Start of Work (time)]])</f>
        <v>23.4375</v>
      </c>
      <c r="X33" s="14">
        <f>HOUR(Table2427245[[#This Row],[Total Work Hours]])+MINUTE(Table2427245[[#This Row],[Total Work Hours]])/60</f>
        <v>10.5</v>
      </c>
      <c r="Y33"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2.0833333333333332E-2</v>
      </c>
      <c r="Z33" s="16">
        <f>Table2427245[[#This Row],[Travel Time from Work to Home]]*24</f>
        <v>0.5</v>
      </c>
      <c r="AA33" s="23">
        <v>0</v>
      </c>
      <c r="AB33" s="13">
        <f>Table2427245[[#This Row],[Travel Time from Work to Home]]+Table2427245[[#This Row],[Travel Time from Home to Work]]</f>
        <v>5.2083333333333329E-2</v>
      </c>
      <c r="AC33" s="14">
        <f>HOUR(Table2427245[[#This Row],[Total Travel Time]])+MINUTE(Table2427245[[#This Row],[Total Travel Time]])/60</f>
        <v>1.25</v>
      </c>
      <c r="AD33" s="17">
        <f>Table2427245[[#This Row],[Total travel time in hr]]/(Table2427245[[#This Row],[Total travel time in hr]]+HOUR(Table2427245[[#This Row],[Total Work Hours]])+MINUTE(Table2427245[[#This Row],[Total Work Hours]])/60)</f>
        <v>0.10638297872340426</v>
      </c>
      <c r="AE33" s="7">
        <f>Table2427245[[#This Row],[Total travel time in hr]]/24</f>
        <v>5.2083333333333336E-2</v>
      </c>
      <c r="AF33" s="8">
        <f>Table2427245[[#This Row],[Total travel time in hr]]*22</f>
        <v>27.5</v>
      </c>
      <c r="AG33" s="8">
        <f>Table2427245[[#This Row],[Total travel time (hr) in a month (22 days)]]/24</f>
        <v>1.1458333333333333</v>
      </c>
      <c r="AH33" s="9">
        <f>Table2427245[[#This Row],[Travel cost]]+Table2427245[[#This Row],[Travel cost ]]</f>
        <v>43</v>
      </c>
      <c r="AI33" s="9">
        <f>Table2427245[[#This Row],[Total Cost]]*22</f>
        <v>946</v>
      </c>
      <c r="AJ33" s="8">
        <f>24-Table2427245[[#This Row],[Total Work Hours in Decimals]]-Table2427245[[#This Row],[Total travel time (hr) in a month (22 days)]]/22</f>
        <v>12.25</v>
      </c>
      <c r="AK33" s="11"/>
    </row>
    <row r="34" spans="1:37" x14ac:dyDescent="0.25">
      <c r="A34" s="11" t="s">
        <v>36</v>
      </c>
      <c r="B34" s="11" t="s">
        <v>37</v>
      </c>
      <c r="C34" s="11" t="s">
        <v>12</v>
      </c>
      <c r="D34" s="11">
        <f>IF(Table2427245[[#This Row],[Workplace Location]]="Taguig",IF(Table2427245[[#This Row],[Marital Status]]="Single",1,0),"na")</f>
        <v>1</v>
      </c>
      <c r="E34" s="11" t="s">
        <v>16</v>
      </c>
      <c r="F34" s="11" t="s">
        <v>47</v>
      </c>
      <c r="H34" s="11" t="s">
        <v>41</v>
      </c>
      <c r="J34" s="11">
        <f>IF(Table2427245[[#This Row],[Location of Residence]]=Table2427245[[#This Row],[Workplace Location]],1,0)</f>
        <v>0</v>
      </c>
      <c r="K34" s="11" cm="1">
        <f t="array" ref="K34">IF(Table2427245[[#This Row],[Workplace Location]]="Taguig",IF(Table2427245[[#This Row],[Location of Residence]]=Table2427245[[#This Row],[Workplace Location]],1,0),null)</f>
        <v>0</v>
      </c>
      <c r="L34" s="6">
        <v>0.375</v>
      </c>
      <c r="M34" s="12">
        <v>0.20833333333333334</v>
      </c>
      <c r="N34" s="12">
        <v>0.3125</v>
      </c>
      <c r="O34"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0.10416666666666666</v>
      </c>
      <c r="P34" s="14">
        <f>Table2427245[[#This Row],[Travel Time from Home to Work]]*24</f>
        <v>2.5</v>
      </c>
      <c r="Q34" s="14">
        <f>IF(Table2427245[[#This Row],[Workplace Location]]="Taguig",Table2427245[[#This Row],[Travel Time from Home to Work in Decimals]],"na")</f>
        <v>2.5</v>
      </c>
      <c r="R34" s="23">
        <v>100</v>
      </c>
      <c r="S34" s="23">
        <f>IF(Table2427245[[#This Row],[Workplace Location]]="Taguig",Table2427245[[#This Row],[Travel cost ]],"na")</f>
        <v>100</v>
      </c>
      <c r="T34" s="6">
        <v>0.83333333333333337</v>
      </c>
      <c r="U34" s="12">
        <v>0.83333333333333337</v>
      </c>
      <c r="V34" s="12">
        <v>0.95833333333333337</v>
      </c>
      <c r="W34" s="13">
        <f>IF(Table2427245[[#This Row],[End of Work (time)]]&lt;Table2427245[[#This Row],[Start of Work (time)]],Table2427245[[#This Row],[End of Work (time)]]+24-Table2427245[[#This Row],[Start of Work (time)]],Table2427245[[#This Row],[End of Work (time)]]-Table2427245[[#This Row],[Start of Work (time)]])</f>
        <v>0.45833333333333337</v>
      </c>
      <c r="X34" s="14">
        <f>HOUR(Table2427245[[#This Row],[Total Work Hours]])+MINUTE(Table2427245[[#This Row],[Total Work Hours]])/60</f>
        <v>11</v>
      </c>
      <c r="Y34"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0.125</v>
      </c>
      <c r="Z34" s="16">
        <f>Table2427245[[#This Row],[Travel Time from Work to Home]]*24</f>
        <v>3</v>
      </c>
      <c r="AA34" s="23">
        <v>100</v>
      </c>
      <c r="AB34" s="13">
        <f>Table2427245[[#This Row],[Travel Time from Work to Home]]+Table2427245[[#This Row],[Travel Time from Home to Work]]</f>
        <v>0.22916666666666666</v>
      </c>
      <c r="AC34" s="14">
        <f>HOUR(Table2427245[[#This Row],[Total Travel Time]])+MINUTE(Table2427245[[#This Row],[Total Travel Time]])/60</f>
        <v>5.5</v>
      </c>
      <c r="AD34" s="17">
        <f>Table2427245[[#This Row],[Total travel time in hr]]/(Table2427245[[#This Row],[Total travel time in hr]]+HOUR(Table2427245[[#This Row],[Total Work Hours]])+MINUTE(Table2427245[[#This Row],[Total Work Hours]])/60)</f>
        <v>0.33333333333333331</v>
      </c>
      <c r="AE34" s="7">
        <f>Table2427245[[#This Row],[Total travel time in hr]]/24</f>
        <v>0.22916666666666666</v>
      </c>
      <c r="AF34" s="8">
        <f>Table2427245[[#This Row],[Total travel time in hr]]*22</f>
        <v>121</v>
      </c>
      <c r="AG34" s="8">
        <f>Table2427245[[#This Row],[Total travel time (hr) in a month (22 days)]]/24</f>
        <v>5.041666666666667</v>
      </c>
      <c r="AH34" s="9">
        <f>Table2427245[[#This Row],[Travel cost]]+Table2427245[[#This Row],[Travel cost ]]</f>
        <v>200</v>
      </c>
      <c r="AI34" s="9">
        <f>Table2427245[[#This Row],[Total Cost]]*22</f>
        <v>4400</v>
      </c>
      <c r="AJ34" s="8">
        <f>24-Table2427245[[#This Row],[Total Work Hours in Decimals]]-Table2427245[[#This Row],[Total travel time (hr) in a month (22 days)]]/22</f>
        <v>7.5</v>
      </c>
      <c r="AK34" s="11"/>
    </row>
    <row r="35" spans="1:37" x14ac:dyDescent="0.25">
      <c r="A35" s="11" t="s">
        <v>36</v>
      </c>
      <c r="B35" s="11" t="s">
        <v>40</v>
      </c>
      <c r="C35" s="11" t="s">
        <v>12</v>
      </c>
      <c r="D35" s="11">
        <f>IF(Table2427245[[#This Row],[Workplace Location]]="Taguig",IF(Table2427245[[#This Row],[Marital Status]]="Single",1,0),"na")</f>
        <v>1</v>
      </c>
      <c r="E35" s="11" t="s">
        <v>16</v>
      </c>
      <c r="F35" s="11" t="s">
        <v>41</v>
      </c>
      <c r="H35" s="11" t="s">
        <v>41</v>
      </c>
      <c r="J35" s="11">
        <f>IF(Table2427245[[#This Row],[Location of Residence]]=Table2427245[[#This Row],[Workplace Location]],1,0)</f>
        <v>1</v>
      </c>
      <c r="K35" s="11" cm="1">
        <f t="array" ref="K35">IF(Table2427245[[#This Row],[Workplace Location]]="Taguig",IF(Table2427245[[#This Row],[Location of Residence]]=Table2427245[[#This Row],[Workplace Location]],1,0),null)</f>
        <v>1</v>
      </c>
      <c r="L35" s="6">
        <v>0.5</v>
      </c>
      <c r="M35" s="12">
        <v>0.41666666666666669</v>
      </c>
      <c r="N35" s="12">
        <v>0.45833333333333331</v>
      </c>
      <c r="O35"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4.166666666666663E-2</v>
      </c>
      <c r="P35" s="14">
        <f>Table2427245[[#This Row],[Travel Time from Home to Work]]*24</f>
        <v>0.99999999999999911</v>
      </c>
      <c r="Q35" s="14">
        <f>IF(Table2427245[[#This Row],[Workplace Location]]="Taguig",Table2427245[[#This Row],[Travel Time from Home to Work in Decimals]],"na")</f>
        <v>0.99999999999999911</v>
      </c>
      <c r="R35" s="23">
        <v>160</v>
      </c>
      <c r="S35" s="23">
        <f>IF(Table2427245[[#This Row],[Workplace Location]]="Taguig",Table2427245[[#This Row],[Travel cost ]],"na")</f>
        <v>160</v>
      </c>
      <c r="T35" s="6">
        <v>0.95833333333333337</v>
      </c>
      <c r="U35" s="12">
        <v>0</v>
      </c>
      <c r="V35" s="12">
        <v>1.0416666666666666E-2</v>
      </c>
      <c r="W35" s="13">
        <f>IF(Table2427245[[#This Row],[End of Work (time)]]&lt;Table2427245[[#This Row],[Start of Work (time)]],Table2427245[[#This Row],[End of Work (time)]]+24-Table2427245[[#This Row],[Start of Work (time)]],Table2427245[[#This Row],[End of Work (time)]]-Table2427245[[#This Row],[Start of Work (time)]])</f>
        <v>0.45833333333333337</v>
      </c>
      <c r="X35" s="14">
        <f>HOUR(Table2427245[[#This Row],[Total Work Hours]])+MINUTE(Table2427245[[#This Row],[Total Work Hours]])/60</f>
        <v>11</v>
      </c>
      <c r="Y35"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1.0416666666666666E-2</v>
      </c>
      <c r="Z35" s="16">
        <f>Table2427245[[#This Row],[Travel Time from Work to Home]]*24</f>
        <v>0.25</v>
      </c>
      <c r="AA35" s="23">
        <v>0</v>
      </c>
      <c r="AB35" s="13">
        <f>Table2427245[[#This Row],[Travel Time from Work to Home]]+Table2427245[[#This Row],[Travel Time from Home to Work]]</f>
        <v>5.2083333333333294E-2</v>
      </c>
      <c r="AC35" s="14">
        <f>HOUR(Table2427245[[#This Row],[Total Travel Time]])+MINUTE(Table2427245[[#This Row],[Total Travel Time]])/60</f>
        <v>1.25</v>
      </c>
      <c r="AD35" s="17">
        <f>Table2427245[[#This Row],[Total travel time in hr]]/(Table2427245[[#This Row],[Total travel time in hr]]+HOUR(Table2427245[[#This Row],[Total Work Hours]])+MINUTE(Table2427245[[#This Row],[Total Work Hours]])/60)</f>
        <v>0.10204081632653061</v>
      </c>
      <c r="AE35" s="7">
        <f>Table2427245[[#This Row],[Total travel time in hr]]/24</f>
        <v>5.2083333333333336E-2</v>
      </c>
      <c r="AF35" s="8">
        <f>Table2427245[[#This Row],[Total travel time in hr]]*22</f>
        <v>27.5</v>
      </c>
      <c r="AG35" s="8">
        <f>Table2427245[[#This Row],[Total travel time (hr) in a month (22 days)]]/24</f>
        <v>1.1458333333333333</v>
      </c>
      <c r="AH35" s="9">
        <f>Table2427245[[#This Row],[Travel cost]]+Table2427245[[#This Row],[Travel cost ]]</f>
        <v>160</v>
      </c>
      <c r="AI35" s="9">
        <f>Table2427245[[#This Row],[Total Cost]]*22</f>
        <v>3520</v>
      </c>
      <c r="AJ35" s="8">
        <f>24-Table2427245[[#This Row],[Total Work Hours in Decimals]]-Table2427245[[#This Row],[Total travel time (hr) in a month (22 days)]]/22</f>
        <v>11.75</v>
      </c>
      <c r="AK35" s="11"/>
    </row>
    <row r="36" spans="1:37" x14ac:dyDescent="0.25">
      <c r="A36" s="11" t="s">
        <v>36</v>
      </c>
      <c r="B36" s="11" t="s">
        <v>40</v>
      </c>
      <c r="C36" s="11" t="s">
        <v>12</v>
      </c>
      <c r="D36" s="11">
        <f>IF(Table2427245[[#This Row],[Workplace Location]]="Taguig",IF(Table2427245[[#This Row],[Marital Status]]="Single",1,0),"na")</f>
        <v>1</v>
      </c>
      <c r="E36" s="11" t="s">
        <v>16</v>
      </c>
      <c r="F36" s="11" t="s">
        <v>41</v>
      </c>
      <c r="H36" s="11" t="s">
        <v>41</v>
      </c>
      <c r="J36" s="11">
        <f>IF(Table2427245[[#This Row],[Location of Residence]]=Table2427245[[#This Row],[Workplace Location]],1,0)</f>
        <v>1</v>
      </c>
      <c r="K36" s="11" cm="1">
        <f t="array" ref="K36">IF(Table2427245[[#This Row],[Workplace Location]]="Taguig",IF(Table2427245[[#This Row],[Location of Residence]]=Table2427245[[#This Row],[Workplace Location]],1,0),null)</f>
        <v>1</v>
      </c>
      <c r="L36" s="6">
        <v>0.41666666666666669</v>
      </c>
      <c r="M36" s="12">
        <v>0.375</v>
      </c>
      <c r="N36" s="12">
        <v>0.3888888888888889</v>
      </c>
      <c r="O36" s="13">
        <f>ABS(IF(Table2427245[[#This Row],[Time of Arrival (at Work)]]&lt;Table2427245[[#This Row],[Time of Departure (from Home)]],Table2427245[[#This Row],[Time of Arrival (at Work)]]+24-Table2427245[[#This Row],[Time of Departure (from Home)]],Table2427245[[#This Row],[Time of Arrival (at Work)]]-Table2427245[[#This Row],[Time of Departure (from Home)]]))</f>
        <v>1.3888888888888895E-2</v>
      </c>
      <c r="P36" s="14">
        <f>Table2427245[[#This Row],[Travel Time from Home to Work]]*24</f>
        <v>0.33333333333333348</v>
      </c>
      <c r="Q36" s="14">
        <f>IF(Table2427245[[#This Row],[Workplace Location]]="Taguig",Table2427245[[#This Row],[Travel Time from Home to Work in Decimals]],"na")</f>
        <v>0.33333333333333348</v>
      </c>
      <c r="R36" s="23">
        <v>0</v>
      </c>
      <c r="S36" s="23">
        <f>IF(Table2427245[[#This Row],[Workplace Location]]="Taguig",Table2427245[[#This Row],[Travel cost ]],"na")</f>
        <v>0</v>
      </c>
      <c r="T36" s="6">
        <v>0.72916666666666663</v>
      </c>
      <c r="U36" s="12">
        <v>0.75</v>
      </c>
      <c r="V36" s="12">
        <v>0.78472222222222221</v>
      </c>
      <c r="W36" s="13">
        <f>IF(Table2427245[[#This Row],[End of Work (time)]]&lt;Table2427245[[#This Row],[Start of Work (time)]],Table2427245[[#This Row],[End of Work (time)]]+24-Table2427245[[#This Row],[Start of Work (time)]],Table2427245[[#This Row],[End of Work (time)]]-Table2427245[[#This Row],[Start of Work (time)]])</f>
        <v>0.31249999999999994</v>
      </c>
      <c r="X36" s="14">
        <f>HOUR(Table2427245[[#This Row],[Total Work Hours]])+MINUTE(Table2427245[[#This Row],[Total Work Hours]])/60</f>
        <v>7.5</v>
      </c>
      <c r="Y36" s="15">
        <f>(IF(Table2427245[[#This Row],[Time of Arrival (at Home)]]&lt;Table2427245[[#This Row],[Time of Departure (from Work)]],Table2427245[[#This Row],[Time of Arrival (at Home)]]+24-Table2427245[[#This Row],[Time of Departure (from Work)]],Table2427245[[#This Row],[Time of Arrival (at Home)]]-Table2427245[[#This Row],[Time of Departure (from Work)]]))</f>
        <v>3.472222222222221E-2</v>
      </c>
      <c r="Z36" s="16">
        <f>Table2427245[[#This Row],[Travel Time from Work to Home]]*24</f>
        <v>0.83333333333333304</v>
      </c>
      <c r="AA36" s="23">
        <v>0</v>
      </c>
      <c r="AB36" s="13">
        <f>Table2427245[[#This Row],[Travel Time from Work to Home]]+Table2427245[[#This Row],[Travel Time from Home to Work]]</f>
        <v>4.8611111111111105E-2</v>
      </c>
      <c r="AC36" s="14">
        <f>HOUR(Table2427245[[#This Row],[Total Travel Time]])+MINUTE(Table2427245[[#This Row],[Total Travel Time]])/60</f>
        <v>1.1666666666666667</v>
      </c>
      <c r="AD36" s="17">
        <f>Table2427245[[#This Row],[Total travel time in hr]]/(Table2427245[[#This Row],[Total travel time in hr]]+HOUR(Table2427245[[#This Row],[Total Work Hours]])+MINUTE(Table2427245[[#This Row],[Total Work Hours]])/60)</f>
        <v>0.13461538461538464</v>
      </c>
      <c r="AE36" s="7">
        <f>Table2427245[[#This Row],[Total travel time in hr]]/24</f>
        <v>4.8611111111111112E-2</v>
      </c>
      <c r="AF36" s="8">
        <f>Table2427245[[#This Row],[Total travel time in hr]]*22</f>
        <v>25.666666666666668</v>
      </c>
      <c r="AG36" s="8">
        <f>Table2427245[[#This Row],[Total travel time (hr) in a month (22 days)]]/24</f>
        <v>1.0694444444444444</v>
      </c>
      <c r="AH36" s="9">
        <f>Table2427245[[#This Row],[Travel cost]]+Table2427245[[#This Row],[Travel cost ]]</f>
        <v>0</v>
      </c>
      <c r="AI36" s="9">
        <f>Table2427245[[#This Row],[Total Cost]]*22</f>
        <v>0</v>
      </c>
      <c r="AJ36" s="8">
        <f>24-Table2427245[[#This Row],[Total Work Hours in Decimals]]-Table2427245[[#This Row],[Total travel time (hr) in a month (22 days)]]/22</f>
        <v>15.333333333333334</v>
      </c>
      <c r="AK36" s="11"/>
    </row>
    <row r="37" spans="1:37" x14ac:dyDescent="0.25">
      <c r="L37" s="6"/>
      <c r="M37" s="12"/>
      <c r="N37" s="12"/>
      <c r="O37" s="13"/>
      <c r="P37" s="14"/>
      <c r="T37" s="6"/>
      <c r="U37" s="12"/>
      <c r="V37" s="12"/>
      <c r="W37" s="13"/>
      <c r="Y37" s="15"/>
      <c r="Z37" s="16"/>
      <c r="AB37" s="13"/>
      <c r="AC37" s="14"/>
      <c r="AD37" s="17"/>
      <c r="AE37" s="7"/>
      <c r="AF37" s="8"/>
      <c r="AG37" s="8"/>
      <c r="AH37" s="9"/>
      <c r="AI37" s="9"/>
      <c r="AJ37" s="8"/>
      <c r="AK37" s="11"/>
    </row>
    <row r="38" spans="1:37" x14ac:dyDescent="0.25">
      <c r="B38" s="11" t="s">
        <v>37</v>
      </c>
      <c r="C38" s="11">
        <f>COUNTIF(Table2427245[Gender],B38)</f>
        <v>21</v>
      </c>
      <c r="E38" s="11" t="s">
        <v>12</v>
      </c>
      <c r="F38" s="11">
        <f>COUNTIF(Table2427245[Marital Status],E38)</f>
        <v>32</v>
      </c>
      <c r="G38" s="11" t="s">
        <v>124</v>
      </c>
      <c r="I38" s="11" t="s">
        <v>121</v>
      </c>
      <c r="P38" s="23" t="s">
        <v>166</v>
      </c>
      <c r="Q38" s="23"/>
    </row>
    <row r="39" spans="1:37" x14ac:dyDescent="0.25">
      <c r="B39" s="11" t="s">
        <v>40</v>
      </c>
      <c r="C39" s="11">
        <f>COUNTIF(Table2427245[Gender],B39)</f>
        <v>12</v>
      </c>
      <c r="E39" s="11" t="s">
        <v>13</v>
      </c>
      <c r="F39" s="11">
        <f>COUNTIF(Table2427245[Marital Status],E39)</f>
        <v>3</v>
      </c>
      <c r="G39" s="11" t="s">
        <v>126</v>
      </c>
      <c r="H39" s="11">
        <f>COUNTIF(Table2427245[Travel Time from Home to Work in Decimals], "&lt;=0.5")</f>
        <v>5</v>
      </c>
      <c r="I39" s="11" t="s">
        <v>128</v>
      </c>
      <c r="J39" s="11">
        <f>COUNTIF(Table2427245[[Travel cost ]], "&lt;=20")</f>
        <v>12</v>
      </c>
      <c r="P39" s="11" t="s">
        <v>128</v>
      </c>
      <c r="Q39" s="11">
        <f>COUNTIF(Table2427245[Travel cost (taguig only)], "&lt;=20")</f>
        <v>6</v>
      </c>
      <c r="R39" s="11"/>
      <c r="S39" s="11"/>
    </row>
    <row r="40" spans="1:37" x14ac:dyDescent="0.25">
      <c r="B40" s="11" t="s">
        <v>60</v>
      </c>
      <c r="C40" s="11">
        <f>COUNTIF(Table2427245[Gender],B40)</f>
        <v>2</v>
      </c>
      <c r="E40" s="11" t="s">
        <v>115</v>
      </c>
      <c r="F40" s="11">
        <f>COUNTIF(Table2427245[Marital Status],E40)</f>
        <v>0</v>
      </c>
      <c r="G40" s="11" t="s">
        <v>130</v>
      </c>
      <c r="H40" s="11">
        <f>COUNTIFS(Table2427245[Travel Time from Home to Work in Decimals], "&gt;0.5", Table2427245[Travel Time from Home to Work in Decimals],"&lt;=0.75")</f>
        <v>6</v>
      </c>
      <c r="I40" s="11" t="s">
        <v>129</v>
      </c>
      <c r="J40" s="11">
        <f>COUNTIFS(Table2427245[[Travel cost ]], "&gt;20", Table2427245[[Travel cost ]], "&lt;=50")</f>
        <v>8</v>
      </c>
      <c r="P40" s="11" t="s">
        <v>129</v>
      </c>
      <c r="Q40" s="11">
        <f>COUNTIFS(Table2427245[Travel cost (taguig only)], "&gt;20", Table2427245[Travel cost (taguig only)], "&lt;=50")</f>
        <v>3</v>
      </c>
      <c r="R40" s="11"/>
      <c r="S40" s="11"/>
    </row>
    <row r="41" spans="1:37" x14ac:dyDescent="0.25">
      <c r="B41" s="11" t="s">
        <v>109</v>
      </c>
      <c r="C41" s="11">
        <f>SUM(C38:C40)</f>
        <v>35</v>
      </c>
      <c r="E41" s="11" t="s">
        <v>116</v>
      </c>
      <c r="F41" s="11">
        <f>COUNTIF(Table2427245[Marital Status],E41)</f>
        <v>0</v>
      </c>
      <c r="G41" s="11" t="s">
        <v>131</v>
      </c>
      <c r="H41" s="11">
        <f>COUNTIFS(Table2427245[Travel Time from Home to Work in Decimals], "&gt;0.75", Table2427245[Travel Time from Home to Work in Decimals],"&lt;=1")</f>
        <v>6</v>
      </c>
      <c r="I41" s="11" t="s">
        <v>133</v>
      </c>
      <c r="J41" s="11">
        <f>COUNTIFS(Table2427245[[Travel cost ]], "&gt;50", Table2427245[[Travel cost ]], "&lt;=100")</f>
        <v>12</v>
      </c>
      <c r="P41" s="11" t="s">
        <v>133</v>
      </c>
      <c r="Q41" s="11">
        <f>COUNTIFS(Table2427245[Travel cost (taguig only)], "&gt;50", Table2427245[Travel cost (taguig only)], "&lt;=100")</f>
        <v>4</v>
      </c>
      <c r="R41" s="11"/>
      <c r="S41" s="11"/>
    </row>
    <row r="42" spans="1:37" x14ac:dyDescent="0.25">
      <c r="E42" s="11" t="s">
        <v>117</v>
      </c>
      <c r="F42" s="11">
        <f>COUNTIF(Table2427245[Marital Status],E42)</f>
        <v>0</v>
      </c>
      <c r="G42" s="11" t="s">
        <v>132</v>
      </c>
      <c r="H42" s="11">
        <f>COUNTIFS(Table2427245[Travel Time from Home to Work in Decimals], "&gt;1", Table2427245[Travel Time from Home to Work in Decimals],"&lt;=1.5")</f>
        <v>7</v>
      </c>
      <c r="I42" s="11" t="s">
        <v>134</v>
      </c>
      <c r="J42" s="11">
        <f>COUNTIFS(Table2427245[[Travel cost ]], "&gt;100", Table2427245[[Travel cost ]], "&lt;=150")</f>
        <v>1</v>
      </c>
      <c r="P42" s="11" t="s">
        <v>134</v>
      </c>
      <c r="Q42" s="11">
        <f>COUNTIFS(Table2427245[Travel cost (taguig only)], "&gt;100", Table2427245[Travel cost (taguig only)], "&lt;=150")</f>
        <v>1</v>
      </c>
      <c r="R42" s="11"/>
      <c r="S42" s="11"/>
    </row>
    <row r="43" spans="1:37" x14ac:dyDescent="0.25">
      <c r="B43" s="11" t="s">
        <v>110</v>
      </c>
      <c r="C43" s="11">
        <f>COUNTIF(Table2427245[Age Bracket],B43)</f>
        <v>0</v>
      </c>
      <c r="G43" s="11" t="s">
        <v>127</v>
      </c>
      <c r="H43" s="11">
        <f>COUNTIF(Table2427245[Travel Time from Home to Work in Decimals], "&gt;1.5")</f>
        <v>11</v>
      </c>
      <c r="I43" s="11" t="s">
        <v>135</v>
      </c>
      <c r="J43" s="11">
        <f>COUNTIF(Table2427245[[Travel cost ]], "&gt;150")</f>
        <v>2</v>
      </c>
      <c r="P43" s="11" t="s">
        <v>135</v>
      </c>
      <c r="Q43" s="11">
        <f>COUNTIF(Table2427245[Travel cost (taguig only)], "&gt;150")</f>
        <v>2</v>
      </c>
      <c r="R43" s="11"/>
      <c r="S43" s="11"/>
    </row>
    <row r="44" spans="1:37" x14ac:dyDescent="0.25">
      <c r="B44" s="11" t="s">
        <v>36</v>
      </c>
      <c r="C44" s="11">
        <f>COUNTIF(Table2427245[Age Bracket],B44)</f>
        <v>29</v>
      </c>
      <c r="E44" s="20" t="s">
        <v>118</v>
      </c>
      <c r="G44" s="11" t="s">
        <v>125</v>
      </c>
      <c r="H44" s="11">
        <f>SUM(H39:H43)</f>
        <v>35</v>
      </c>
      <c r="P44" s="11" t="s">
        <v>125</v>
      </c>
      <c r="Q44" s="11">
        <f>SUM(Q39:Q43)</f>
        <v>16</v>
      </c>
    </row>
    <row r="45" spans="1:37" x14ac:dyDescent="0.25">
      <c r="B45" s="11" t="s">
        <v>49</v>
      </c>
      <c r="C45" s="11">
        <f>COUNTIF(Table2427245[Age Bracket],B45)</f>
        <v>5</v>
      </c>
      <c r="E45" s="11" t="s">
        <v>119</v>
      </c>
      <c r="F45" s="11">
        <f>COUNTIF(Table2427245[Does he live within the city he works at?], 1)</f>
        <v>5</v>
      </c>
      <c r="P45" s="11" t="s">
        <v>168</v>
      </c>
    </row>
    <row r="46" spans="1:37" x14ac:dyDescent="0.25">
      <c r="B46" s="11" t="s">
        <v>53</v>
      </c>
      <c r="C46" s="11">
        <f>COUNTIF(Table2427245[Age Bracket],B46)</f>
        <v>1</v>
      </c>
      <c r="E46" s="11" t="s">
        <v>120</v>
      </c>
      <c r="F46" s="11">
        <f>COUNTIF(Table2427245[Does he live within the city he works at?], 0)</f>
        <v>30</v>
      </c>
      <c r="H46" s="11" t="s">
        <v>34</v>
      </c>
      <c r="K46" s="10" t="s">
        <v>160</v>
      </c>
      <c r="L46" s="11"/>
      <c r="M46" s="11" t="s">
        <v>171</v>
      </c>
      <c r="P46" s="11" t="s">
        <v>126</v>
      </c>
      <c r="Q46" s="11">
        <f>COUNTIF(Table2427245[Travel Time from Home to Work in Decimals (taguig)], "&lt;=0.5")</f>
        <v>1</v>
      </c>
    </row>
    <row r="47" spans="1:37" x14ac:dyDescent="0.25">
      <c r="B47" s="11" t="s">
        <v>111</v>
      </c>
      <c r="C47" s="11">
        <f>COUNTIF(Table2427245[Age Bracket],B47)</f>
        <v>0</v>
      </c>
      <c r="I47" s="27" t="s">
        <v>39</v>
      </c>
      <c r="J47" s="11">
        <f>COUNTIF(Table2427245[Workplace Location],I47)</f>
        <v>8</v>
      </c>
      <c r="K47" s="27" t="s">
        <v>162</v>
      </c>
      <c r="L47" s="11">
        <f>COUNTIF(Table2427245[Does he live within the city he works at? (TAGUIG)],1)</f>
        <v>2</v>
      </c>
      <c r="M47" s="11" t="s">
        <v>12</v>
      </c>
      <c r="N47" s="11">
        <f>COUNTIF(Table2427245[Marital Status (taguig)],1)</f>
        <v>15</v>
      </c>
      <c r="P47" s="11" t="s">
        <v>130</v>
      </c>
      <c r="Q47" s="11">
        <f>COUNTIFS(Table2427245[Travel Time from Home to Work in Decimals (taguig)], "&gt;0.5", Table2427245[Travel Time from Home to Work in Decimals (taguig)],"&lt;=0.75")</f>
        <v>3</v>
      </c>
    </row>
    <row r="48" spans="1:37" x14ac:dyDescent="0.25">
      <c r="B48" s="11" t="s">
        <v>112</v>
      </c>
      <c r="C48" s="11">
        <f>COUNTIF(Table2427245[Age Bracket],B48)</f>
        <v>0</v>
      </c>
      <c r="I48" s="27" t="s">
        <v>41</v>
      </c>
      <c r="J48" s="11">
        <f>COUNTIF(Table2427245[Workplace Location],I48)</f>
        <v>16</v>
      </c>
      <c r="K48" s="11" t="s">
        <v>163</v>
      </c>
      <c r="L48" s="11">
        <f>COUNTIF(Table2427245[Does he live within the city he works at? (TAGUIG)],0)</f>
        <v>14</v>
      </c>
      <c r="M48" s="11" t="s">
        <v>13</v>
      </c>
      <c r="N48" s="11">
        <f>COUNTIF(Table2427245[Marital Status (taguig)],0)</f>
        <v>1</v>
      </c>
      <c r="P48" s="11" t="s">
        <v>131</v>
      </c>
      <c r="Q48" s="11">
        <f>COUNTIFS(Table2427245[Travel Time from Home to Work in Decimals (taguig)], "&gt;0.75", Table2427245[Travel Time from Home to Work in Decimals (taguig)],"&lt;=1")</f>
        <v>3</v>
      </c>
    </row>
    <row r="49" spans="2:17" x14ac:dyDescent="0.25">
      <c r="B49" s="11" t="s">
        <v>113</v>
      </c>
      <c r="C49" s="11">
        <f>COUNTIF(Table2427245[Age Bracket],B49)</f>
        <v>0</v>
      </c>
      <c r="I49" s="27" t="s">
        <v>46</v>
      </c>
      <c r="J49" s="11">
        <f>COUNTIF(Table2427245[Workplace Location],I49)</f>
        <v>6</v>
      </c>
      <c r="P49" s="11" t="s">
        <v>132</v>
      </c>
      <c r="Q49" s="11">
        <f>COUNTIFS(Table2427245[Travel Time from Home to Work in Decimals (taguig)], "&gt;1", Table2427245[Travel Time from Home to Work in Decimals (taguig)],"&lt;=1.5")</f>
        <v>2</v>
      </c>
    </row>
    <row r="50" spans="2:17" x14ac:dyDescent="0.25">
      <c r="B50" s="11" t="s">
        <v>114</v>
      </c>
      <c r="C50" s="11">
        <f>COUNTIF(Table2427245[Age Bracket],B50)</f>
        <v>0</v>
      </c>
      <c r="I50" s="27" t="s">
        <v>45</v>
      </c>
      <c r="J50" s="11">
        <f>COUNTIF(Table2427245[Workplace Location],I50)</f>
        <v>1</v>
      </c>
      <c r="P50" s="11" t="s">
        <v>127</v>
      </c>
      <c r="Q50" s="11">
        <f>COUNTIF(Table2427245[Travel Time from Home to Work in Decimals (taguig)], "&gt;1.5")</f>
        <v>7</v>
      </c>
    </row>
    <row r="51" spans="2:17" x14ac:dyDescent="0.25">
      <c r="I51" s="27" t="s">
        <v>50</v>
      </c>
      <c r="J51" s="11">
        <f>COUNTIF(Table2427245[Workplace Location],I51)</f>
        <v>1</v>
      </c>
      <c r="P51" s="11" t="s">
        <v>125</v>
      </c>
      <c r="Q51" s="11">
        <f>SUM(Q46:Q50)</f>
        <v>16</v>
      </c>
    </row>
    <row r="52" spans="2:17" x14ac:dyDescent="0.25">
      <c r="I52" s="27" t="s">
        <v>47</v>
      </c>
      <c r="J52" s="11">
        <f>COUNTIF(Table2427245[Workplace Location],I52)</f>
        <v>2</v>
      </c>
    </row>
    <row r="53" spans="2:17" x14ac:dyDescent="0.25">
      <c r="I53" s="27" t="s">
        <v>48</v>
      </c>
      <c r="J53" s="11">
        <f>COUNTIF(Table2427245[Workplace Location],I53)</f>
        <v>1</v>
      </c>
    </row>
    <row r="54" spans="2:17" x14ac:dyDescent="0.25">
      <c r="H54"/>
      <c r="I54"/>
    </row>
    <row r="55" spans="2:17" x14ac:dyDescent="0.25">
      <c r="H55"/>
      <c r="I55"/>
    </row>
    <row r="56" spans="2:17" x14ac:dyDescent="0.25">
      <c r="H56"/>
      <c r="I56"/>
    </row>
    <row r="57" spans="2:17" x14ac:dyDescent="0.25">
      <c r="H57"/>
      <c r="I57"/>
    </row>
    <row r="58" spans="2:17" x14ac:dyDescent="0.25">
      <c r="H58"/>
      <c r="I58"/>
    </row>
    <row r="59" spans="2:17" x14ac:dyDescent="0.25">
      <c r="H59"/>
      <c r="I59"/>
    </row>
    <row r="60" spans="2:17" x14ac:dyDescent="0.25">
      <c r="H60"/>
      <c r="I60"/>
    </row>
    <row r="61" spans="2:17" x14ac:dyDescent="0.25">
      <c r="H61"/>
      <c r="I61"/>
    </row>
    <row r="62" spans="2:17" x14ac:dyDescent="0.25">
      <c r="H62"/>
      <c r="I62"/>
    </row>
    <row r="63" spans="2:17" x14ac:dyDescent="0.25">
      <c r="H63"/>
      <c r="I63"/>
    </row>
    <row r="64" spans="2:17" x14ac:dyDescent="0.25">
      <c r="H64"/>
      <c r="I64"/>
    </row>
    <row r="65" spans="8:9" x14ac:dyDescent="0.25">
      <c r="H65"/>
      <c r="I65"/>
    </row>
    <row r="66" spans="8:9" x14ac:dyDescent="0.25">
      <c r="H66"/>
      <c r="I66"/>
    </row>
    <row r="67" spans="8:9" x14ac:dyDescent="0.25">
      <c r="H67"/>
      <c r="I67"/>
    </row>
    <row r="68" spans="8:9" x14ac:dyDescent="0.25">
      <c r="H68"/>
      <c r="I68"/>
    </row>
    <row r="69" spans="8:9" x14ac:dyDescent="0.25">
      <c r="H69"/>
      <c r="I69"/>
    </row>
    <row r="70" spans="8:9" x14ac:dyDescent="0.25">
      <c r="H70"/>
      <c r="I70"/>
    </row>
    <row r="71" spans="8:9" x14ac:dyDescent="0.25">
      <c r="H71"/>
      <c r="I71"/>
    </row>
    <row r="72" spans="8:9" x14ac:dyDescent="0.25">
      <c r="H72"/>
      <c r="I72"/>
    </row>
    <row r="73" spans="8:9" x14ac:dyDescent="0.25">
      <c r="H73"/>
      <c r="I73"/>
    </row>
    <row r="74" spans="8:9" x14ac:dyDescent="0.25">
      <c r="H74"/>
      <c r="I74"/>
    </row>
    <row r="75" spans="8:9" x14ac:dyDescent="0.25">
      <c r="H75"/>
      <c r="I75"/>
    </row>
    <row r="76" spans="8:9" x14ac:dyDescent="0.25">
      <c r="H76"/>
      <c r="I76"/>
    </row>
    <row r="77" spans="8:9" x14ac:dyDescent="0.25">
      <c r="H77"/>
      <c r="I77"/>
    </row>
    <row r="78" spans="8:9" x14ac:dyDescent="0.25">
      <c r="H78"/>
      <c r="I78"/>
    </row>
    <row r="79" spans="8:9" x14ac:dyDescent="0.25">
      <c r="H79"/>
      <c r="I79"/>
    </row>
    <row r="80" spans="8:9" x14ac:dyDescent="0.25">
      <c r="H80"/>
      <c r="I80"/>
    </row>
    <row r="81" spans="8:9" x14ac:dyDescent="0.25">
      <c r="H81"/>
      <c r="I81"/>
    </row>
  </sheetData>
  <dataConsolidate/>
  <phoneticPr fontId="1" type="noConversion"/>
  <dataValidations xWindow="1065" yWindow="469" count="8">
    <dataValidation showInputMessage="1" showErrorMessage="1" sqref="B1 G1:G37 I1:I37 J2:K37" xr:uid="{2426EA5D-2EFF-483D-839F-088FD44BCD9F}"/>
    <dataValidation showErrorMessage="1" promptTitle="Travel Cost" prompt="Enter the cost only" sqref="U10:V10 T1:T37 AB2:AD37" xr:uid="{B8F566DA-9CBD-46EF-9B2A-B39B23B72BFA}"/>
    <dataValidation type="list" showInputMessage="1" showErrorMessage="1" sqref="B2:B37" xr:uid="{1D7A6D9C-05B7-444A-B6B0-66C800FE9E6A}">
      <formula1>"Male, Female, Prefer Not to Say"</formula1>
    </dataValidation>
    <dataValidation type="list" showInputMessage="1" showErrorMessage="1" sqref="C2:C37" xr:uid="{216A2F52-609E-4483-9832-FE92A4B8493F}">
      <formula1>"Single, Married, Widowed, Separated, Divorced"</formula1>
    </dataValidation>
    <dataValidation type="decimal" showInputMessage="1" showErrorMessage="1" promptTitle="Travel Cost" prompt="Enter the cost only" sqref="AA2:AA37 R2:R37" xr:uid="{E8410A22-DB42-4041-9D65-87C3E7B96D71}">
      <formula1>0</formula1>
      <formula2>9999</formula2>
    </dataValidation>
    <dataValidation type="list" showInputMessage="1" showErrorMessage="1" sqref="E2:E37" xr:uid="{5AFE8DEF-E0CB-4B7E-88E8-286F2052C004}">
      <formula1>"Unemployed, Probationary, Regular Employee, Fixed Term/Contractual"</formula1>
    </dataValidation>
    <dataValidation type="list" showInputMessage="1" showErrorMessage="1" sqref="H2:H37 F2:F37 I47:I53" xr:uid="{EE7B7B80-1D91-43E5-9520-561D6A29DEE3}">
      <formula1>"Caloocan,  Las Piñas,  Makati,  Malabon,  Mandaluyong,  Manila,  Marikina,  Muntinlupa,  Navotas,  Parañaque,  Pasay,  Pasig,  Pateros,  Quezon City,  San Juan,  Taguig,  Valenzuela, Others"</formula1>
    </dataValidation>
    <dataValidation type="list" showInputMessage="1" showErrorMessage="1" sqref="A2:A37" xr:uid="{41522629-7E05-4075-81FC-52F8FE494B72}">
      <formula1>"15-20, 21-25, 26-30, 31-35, 36-40, 41-50, 51-60, 61-65"</formula1>
    </dataValidation>
  </dataValidation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92452-1D9F-437F-A359-7858F23253D8}">
  <dimension ref="A1:D31"/>
  <sheetViews>
    <sheetView topLeftCell="A43" workbookViewId="0">
      <selection activeCell="M72" sqref="M72"/>
    </sheetView>
  </sheetViews>
  <sheetFormatPr defaultRowHeight="15" x14ac:dyDescent="0.25"/>
  <cols>
    <col min="9" max="9" width="5.140625" customWidth="1"/>
  </cols>
  <sheetData>
    <row r="1" spans="1:1" x14ac:dyDescent="0.25">
      <c r="A1" s="18" t="s">
        <v>81</v>
      </c>
    </row>
    <row r="2" spans="1:1" x14ac:dyDescent="0.25">
      <c r="A2" s="18" t="s">
        <v>82</v>
      </c>
    </row>
    <row r="3" spans="1:1" x14ac:dyDescent="0.25">
      <c r="A3" s="18" t="s">
        <v>83</v>
      </c>
    </row>
    <row r="4" spans="1:1" x14ac:dyDescent="0.25">
      <c r="A4" s="18" t="s">
        <v>84</v>
      </c>
    </row>
    <row r="5" spans="1:1" x14ac:dyDescent="0.25">
      <c r="A5" s="18" t="s">
        <v>85</v>
      </c>
    </row>
    <row r="6" spans="1:1" x14ac:dyDescent="0.25">
      <c r="A6" s="18" t="s">
        <v>86</v>
      </c>
    </row>
    <row r="7" spans="1:1" x14ac:dyDescent="0.25">
      <c r="A7" s="18" t="s">
        <v>87</v>
      </c>
    </row>
    <row r="8" spans="1:1" x14ac:dyDescent="0.25">
      <c r="A8" s="18" t="s">
        <v>88</v>
      </c>
    </row>
    <row r="9" spans="1:1" x14ac:dyDescent="0.25">
      <c r="A9" s="18" t="s">
        <v>89</v>
      </c>
    </row>
    <row r="10" spans="1:1" x14ac:dyDescent="0.25">
      <c r="A10" s="18" t="s">
        <v>90</v>
      </c>
    </row>
    <row r="11" spans="1:1" x14ac:dyDescent="0.25">
      <c r="A11" s="18" t="s">
        <v>91</v>
      </c>
    </row>
    <row r="12" spans="1:1" x14ac:dyDescent="0.25">
      <c r="A12" s="18" t="s">
        <v>92</v>
      </c>
    </row>
    <row r="13" spans="1:1" x14ac:dyDescent="0.25">
      <c r="A13" s="18" t="s">
        <v>93</v>
      </c>
    </row>
    <row r="14" spans="1:1" x14ac:dyDescent="0.25">
      <c r="A14" s="18" t="s">
        <v>94</v>
      </c>
    </row>
    <row r="15" spans="1:1" x14ac:dyDescent="0.25">
      <c r="A15" s="18" t="s">
        <v>95</v>
      </c>
    </row>
    <row r="16" spans="1:1" x14ac:dyDescent="0.25">
      <c r="A16" s="18" t="s">
        <v>96</v>
      </c>
    </row>
    <row r="18" spans="1:4" x14ac:dyDescent="0.25">
      <c r="A18" s="18" t="s">
        <v>97</v>
      </c>
    </row>
    <row r="19" spans="1:4" x14ac:dyDescent="0.25">
      <c r="A19" s="19" t="s">
        <v>98</v>
      </c>
    </row>
    <row r="20" spans="1:4" x14ac:dyDescent="0.25">
      <c r="A20" s="19" t="s">
        <v>99</v>
      </c>
    </row>
    <row r="21" spans="1:4" x14ac:dyDescent="0.25">
      <c r="A21" s="19" t="s">
        <v>100</v>
      </c>
    </row>
    <row r="24" spans="1:4" x14ac:dyDescent="0.25">
      <c r="A24" t="s">
        <v>101</v>
      </c>
      <c r="D24" t="s">
        <v>102</v>
      </c>
    </row>
    <row r="25" spans="1:4" x14ac:dyDescent="0.25">
      <c r="A25" t="s">
        <v>106</v>
      </c>
    </row>
    <row r="26" spans="1:4" x14ac:dyDescent="0.25">
      <c r="A26" t="s">
        <v>107</v>
      </c>
    </row>
    <row r="29" spans="1:4" x14ac:dyDescent="0.25">
      <c r="A29" t="s">
        <v>103</v>
      </c>
      <c r="C29" t="s">
        <v>108</v>
      </c>
    </row>
    <row r="30" spans="1:4" x14ac:dyDescent="0.25">
      <c r="A30" t="s">
        <v>104</v>
      </c>
      <c r="C30" t="s">
        <v>123</v>
      </c>
    </row>
    <row r="31" spans="1:4" x14ac:dyDescent="0.25">
      <c r="A31" t="s">
        <v>105</v>
      </c>
      <c r="C31" t="s">
        <v>122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110BB-9026-4A71-BBDC-6C56B59DF533}">
  <dimension ref="A1:Z20"/>
  <sheetViews>
    <sheetView topLeftCell="A11" zoomScaleNormal="100" workbookViewId="0">
      <selection activeCell="AA31" sqref="AA31"/>
    </sheetView>
  </sheetViews>
  <sheetFormatPr defaultRowHeight="15" x14ac:dyDescent="0.25"/>
  <cols>
    <col min="9" max="9" width="5.140625" customWidth="1"/>
    <col min="17" max="17" width="5.140625" customWidth="1"/>
  </cols>
  <sheetData>
    <row r="1" spans="1:1" x14ac:dyDescent="0.25">
      <c r="A1" s="24" t="s">
        <v>136</v>
      </c>
    </row>
    <row r="2" spans="1:1" x14ac:dyDescent="0.25">
      <c r="A2" s="24" t="s">
        <v>137</v>
      </c>
    </row>
    <row r="3" spans="1:1" x14ac:dyDescent="0.25">
      <c r="A3" s="24" t="s">
        <v>138</v>
      </c>
    </row>
    <row r="4" spans="1:1" x14ac:dyDescent="0.25">
      <c r="A4" s="24" t="s">
        <v>139</v>
      </c>
    </row>
    <row r="5" spans="1:1" x14ac:dyDescent="0.25">
      <c r="A5" s="24" t="s">
        <v>140</v>
      </c>
    </row>
    <row r="6" spans="1:1" x14ac:dyDescent="0.25">
      <c r="A6" s="24" t="s">
        <v>141</v>
      </c>
    </row>
    <row r="7" spans="1:1" x14ac:dyDescent="0.25">
      <c r="A7" s="24" t="s">
        <v>142</v>
      </c>
    </row>
    <row r="8" spans="1:1" x14ac:dyDescent="0.25">
      <c r="A8" s="24" t="s">
        <v>143</v>
      </c>
    </row>
    <row r="9" spans="1:1" x14ac:dyDescent="0.25">
      <c r="A9" s="24" t="s">
        <v>144</v>
      </c>
    </row>
    <row r="10" spans="1:1" x14ac:dyDescent="0.25">
      <c r="A10" s="24" t="s">
        <v>145</v>
      </c>
    </row>
    <row r="11" spans="1:1" x14ac:dyDescent="0.25">
      <c r="A11" s="24" t="s">
        <v>146</v>
      </c>
    </row>
    <row r="12" spans="1:1" x14ac:dyDescent="0.25">
      <c r="A12" s="24" t="s">
        <v>147</v>
      </c>
    </row>
    <row r="13" spans="1:1" x14ac:dyDescent="0.25">
      <c r="A13" s="24" t="s">
        <v>148</v>
      </c>
    </row>
    <row r="18" spans="26:26" x14ac:dyDescent="0.25">
      <c r="Z18" t="s">
        <v>149</v>
      </c>
    </row>
    <row r="19" spans="26:26" x14ac:dyDescent="0.25">
      <c r="Z19" t="s">
        <v>150</v>
      </c>
    </row>
    <row r="20" spans="26:26" x14ac:dyDescent="0.25">
      <c r="Z20" t="s">
        <v>151</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53920-0242-4D94-B642-DEA6D476CB55}">
  <dimension ref="A1:R85"/>
  <sheetViews>
    <sheetView topLeftCell="A58" workbookViewId="0">
      <selection activeCell="J92" sqref="J92"/>
    </sheetView>
  </sheetViews>
  <sheetFormatPr defaultRowHeight="15" x14ac:dyDescent="0.25"/>
  <cols>
    <col min="1" max="1" width="9.140625" style="25"/>
  </cols>
  <sheetData>
    <row r="1" spans="1:1" x14ac:dyDescent="0.25">
      <c r="A1" s="26" t="s">
        <v>152</v>
      </c>
    </row>
    <row r="2" spans="1:1" x14ac:dyDescent="0.25">
      <c r="A2" s="26" t="s">
        <v>153</v>
      </c>
    </row>
    <row r="3" spans="1:1" x14ac:dyDescent="0.25">
      <c r="A3" s="26" t="s">
        <v>154</v>
      </c>
    </row>
    <row r="4" spans="1:1" x14ac:dyDescent="0.25">
      <c r="A4" s="26" t="s">
        <v>155</v>
      </c>
    </row>
    <row r="5" spans="1:1" x14ac:dyDescent="0.25">
      <c r="A5" s="26" t="s">
        <v>156</v>
      </c>
    </row>
    <row r="6" spans="1:1" x14ac:dyDescent="0.25">
      <c r="A6" s="26" t="s">
        <v>157</v>
      </c>
    </row>
    <row r="7" spans="1:1" x14ac:dyDescent="0.25">
      <c r="A7" s="26" t="s">
        <v>142</v>
      </c>
    </row>
    <row r="8" spans="1:1" x14ac:dyDescent="0.25">
      <c r="A8" s="26" t="s">
        <v>158</v>
      </c>
    </row>
    <row r="9" spans="1:1" x14ac:dyDescent="0.25">
      <c r="A9" s="26" t="s">
        <v>159</v>
      </c>
    </row>
    <row r="10" spans="1:1" x14ac:dyDescent="0.25">
      <c r="A10" s="26" t="s">
        <v>147</v>
      </c>
    </row>
    <row r="11" spans="1:1" x14ac:dyDescent="0.25">
      <c r="A11" s="26" t="s">
        <v>148</v>
      </c>
    </row>
    <row r="13" spans="1:1" x14ac:dyDescent="0.25">
      <c r="A13"/>
    </row>
    <row r="14" spans="1:1" x14ac:dyDescent="0.25">
      <c r="A14"/>
    </row>
    <row r="15" spans="1:1" x14ac:dyDescent="0.25">
      <c r="A15"/>
    </row>
    <row r="16" spans="1:1"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78" spans="18:18" x14ac:dyDescent="0.25">
      <c r="R78" t="s">
        <v>164</v>
      </c>
    </row>
    <row r="79" spans="18:18" x14ac:dyDescent="0.25">
      <c r="R79" t="s">
        <v>167</v>
      </c>
    </row>
    <row r="80" spans="18:18" x14ac:dyDescent="0.25">
      <c r="R80" t="s">
        <v>169</v>
      </c>
    </row>
    <row r="81" spans="18:18" x14ac:dyDescent="0.25">
      <c r="R81" t="s">
        <v>172</v>
      </c>
    </row>
    <row r="83" spans="18:18" x14ac:dyDescent="0.25">
      <c r="R83" t="s">
        <v>173</v>
      </c>
    </row>
    <row r="84" spans="18:18" x14ac:dyDescent="0.25">
      <c r="R84" t="s">
        <v>174</v>
      </c>
    </row>
    <row r="85" spans="18:18" x14ac:dyDescent="0.25">
      <c r="R85" t="s">
        <v>175</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87E5-54CF-4123-B1B3-E5B6925A4F1C}">
  <dimension ref="A1:R65"/>
  <sheetViews>
    <sheetView tabSelected="1" workbookViewId="0">
      <selection activeCell="H63" sqref="H63"/>
    </sheetView>
  </sheetViews>
  <sheetFormatPr defaultRowHeight="15" x14ac:dyDescent="0.25"/>
  <cols>
    <col min="1" max="1" width="9.140625" style="25"/>
    <col min="10" max="10" width="9.140625" customWidth="1"/>
  </cols>
  <sheetData>
    <row r="1" spans="1:1" x14ac:dyDescent="0.25">
      <c r="A1" s="18" t="s">
        <v>176</v>
      </c>
    </row>
    <row r="2" spans="1:1" x14ac:dyDescent="0.25">
      <c r="A2" s="18" t="s">
        <v>177</v>
      </c>
    </row>
    <row r="3" spans="1:1" x14ac:dyDescent="0.25">
      <c r="A3" s="18" t="s">
        <v>178</v>
      </c>
    </row>
    <row r="4" spans="1:1" x14ac:dyDescent="0.25">
      <c r="A4" s="18" t="s">
        <v>179</v>
      </c>
    </row>
    <row r="5" spans="1:1" x14ac:dyDescent="0.25">
      <c r="A5" s="18" t="s">
        <v>180</v>
      </c>
    </row>
    <row r="6" spans="1:1" x14ac:dyDescent="0.25">
      <c r="A6" s="18" t="s">
        <v>181</v>
      </c>
    </row>
    <row r="7" spans="1:1" x14ac:dyDescent="0.25">
      <c r="A7" s="18" t="s">
        <v>182</v>
      </c>
    </row>
    <row r="8" spans="1:1" x14ac:dyDescent="0.25">
      <c r="A8"/>
    </row>
    <row r="9" spans="1:1" x14ac:dyDescent="0.25">
      <c r="A9" s="18" t="s">
        <v>183</v>
      </c>
    </row>
    <row r="10" spans="1:1" x14ac:dyDescent="0.25">
      <c r="A10" s="18" t="s">
        <v>184</v>
      </c>
    </row>
    <row r="11" spans="1:1" x14ac:dyDescent="0.25">
      <c r="A11" s="26"/>
    </row>
    <row r="12" spans="1:1" x14ac:dyDescent="0.25">
      <c r="A12"/>
    </row>
    <row r="13" spans="1:1" x14ac:dyDescent="0.25">
      <c r="A13"/>
    </row>
    <row r="14" spans="1:1" x14ac:dyDescent="0.25">
      <c r="A14"/>
    </row>
    <row r="15" spans="1:1" x14ac:dyDescent="0.25">
      <c r="A15"/>
    </row>
    <row r="16" spans="1:1"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8" x14ac:dyDescent="0.25">
      <c r="A49"/>
    </row>
    <row r="50" spans="1:18" x14ac:dyDescent="0.25">
      <c r="A50"/>
    </row>
    <row r="59" spans="1:18" x14ac:dyDescent="0.25">
      <c r="J59" s="29"/>
      <c r="K59" s="29"/>
      <c r="L59" s="29"/>
      <c r="M59" s="29"/>
      <c r="N59" s="29"/>
      <c r="O59" s="29"/>
      <c r="P59" s="29"/>
      <c r="Q59" s="29"/>
      <c r="R59" s="29"/>
    </row>
    <row r="60" spans="1:18" ht="112.5" customHeight="1" x14ac:dyDescent="0.25">
      <c r="J60" s="30" t="s">
        <v>185</v>
      </c>
      <c r="K60" s="30"/>
      <c r="L60" s="30"/>
      <c r="M60" s="30"/>
      <c r="N60" s="30"/>
      <c r="O60" s="30"/>
      <c r="P60" s="30"/>
      <c r="Q60" s="30"/>
      <c r="R60" s="28"/>
    </row>
    <row r="61" spans="1:18" ht="15.75" x14ac:dyDescent="0.25">
      <c r="J61" s="31"/>
      <c r="K61" s="31"/>
      <c r="L61" s="31"/>
      <c r="M61" s="31"/>
      <c r="N61" s="31"/>
      <c r="O61" s="31"/>
      <c r="P61" s="31"/>
      <c r="Q61" s="31"/>
    </row>
    <row r="62" spans="1:18" ht="15.75" x14ac:dyDescent="0.25">
      <c r="J62" s="31"/>
      <c r="K62" s="31"/>
      <c r="L62" s="31"/>
      <c r="M62" s="31"/>
      <c r="N62" s="31"/>
      <c r="O62" s="31"/>
      <c r="P62" s="31"/>
      <c r="Q62" s="31"/>
    </row>
    <row r="63" spans="1:18" ht="15.75" x14ac:dyDescent="0.25">
      <c r="J63" s="32" t="s">
        <v>186</v>
      </c>
      <c r="K63" s="31"/>
      <c r="L63" s="31"/>
      <c r="M63" s="31"/>
      <c r="N63" s="31"/>
      <c r="O63" s="31"/>
      <c r="P63" s="31"/>
      <c r="Q63" s="31"/>
    </row>
    <row r="64" spans="1:18" ht="15.75" x14ac:dyDescent="0.25">
      <c r="J64" s="31" t="s">
        <v>187</v>
      </c>
      <c r="K64" s="31"/>
      <c r="L64" s="31"/>
      <c r="M64" s="31"/>
      <c r="N64" s="31"/>
      <c r="O64" s="31"/>
      <c r="P64" s="31"/>
      <c r="Q64" s="31"/>
    </row>
    <row r="65" spans="10:17" ht="15.75" x14ac:dyDescent="0.25">
      <c r="J65" s="31" t="s">
        <v>188</v>
      </c>
      <c r="K65" s="31"/>
      <c r="L65" s="31"/>
      <c r="M65" s="31"/>
      <c r="N65" s="31"/>
      <c r="O65" s="31"/>
      <c r="P65" s="31"/>
      <c r="Q65" s="31"/>
    </row>
  </sheetData>
  <mergeCells count="1">
    <mergeCell ref="J60:Q60"/>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7E57B-00C6-4BE3-8AF5-DF546F44EA31}">
  <dimension ref="A1:K17"/>
  <sheetViews>
    <sheetView workbookViewId="0">
      <selection activeCell="E12" sqref="E12"/>
    </sheetView>
  </sheetViews>
  <sheetFormatPr defaultRowHeight="15" x14ac:dyDescent="0.25"/>
  <sheetData>
    <row r="1" spans="1:11" x14ac:dyDescent="0.25">
      <c r="A1" t="s">
        <v>17</v>
      </c>
      <c r="C1" t="str">
        <f>LEFT(A1, LEN(A1)-2)</f>
        <v>Caloocan</v>
      </c>
      <c r="D1" t="s">
        <v>38</v>
      </c>
      <c r="F1" t="s">
        <v>38</v>
      </c>
      <c r="G1" t="s">
        <v>56</v>
      </c>
      <c r="H1" t="s">
        <v>56</v>
      </c>
      <c r="I1" t="s">
        <v>38</v>
      </c>
      <c r="J1" t="s">
        <v>39</v>
      </c>
      <c r="K1" t="s">
        <v>38</v>
      </c>
    </row>
    <row r="2" spans="1:11" x14ac:dyDescent="0.25">
      <c r="A2" t="s">
        <v>31</v>
      </c>
      <c r="C2" t="str">
        <f>LEFT(A2, LEN(A2)-2)</f>
        <v>Las Piñas</v>
      </c>
      <c r="D2" t="s">
        <v>56</v>
      </c>
      <c r="G2" t="s">
        <v>39</v>
      </c>
      <c r="I2" t="s">
        <v>39</v>
      </c>
      <c r="K2" t="s">
        <v>56</v>
      </c>
    </row>
    <row r="3" spans="1:11" x14ac:dyDescent="0.25">
      <c r="A3" t="s">
        <v>25</v>
      </c>
      <c r="C3" t="str">
        <f t="shared" ref="C3:C17" si="0">LEFT(A3, LEN(A3)-2)</f>
        <v>Makati</v>
      </c>
      <c r="D3" t="s">
        <v>39</v>
      </c>
      <c r="G3" t="s">
        <v>61</v>
      </c>
      <c r="I3" t="s">
        <v>61</v>
      </c>
      <c r="K3" t="s">
        <v>61</v>
      </c>
    </row>
    <row r="4" spans="1:11" x14ac:dyDescent="0.25">
      <c r="A4" t="s">
        <v>18</v>
      </c>
      <c r="C4" t="str">
        <f t="shared" si="0"/>
        <v>Malabon</v>
      </c>
      <c r="D4" t="s">
        <v>61</v>
      </c>
      <c r="G4" t="s">
        <v>45</v>
      </c>
      <c r="I4" t="s">
        <v>45</v>
      </c>
      <c r="K4" t="s">
        <v>45</v>
      </c>
    </row>
    <row r="5" spans="1:11" x14ac:dyDescent="0.25">
      <c r="A5" t="s">
        <v>27</v>
      </c>
      <c r="C5" t="str">
        <f t="shared" si="0"/>
        <v>Mandaluyong</v>
      </c>
      <c r="D5" t="s">
        <v>45</v>
      </c>
      <c r="G5" t="s">
        <v>44</v>
      </c>
      <c r="I5" t="s">
        <v>44</v>
      </c>
      <c r="K5" t="s">
        <v>44</v>
      </c>
    </row>
    <row r="6" spans="1:11" x14ac:dyDescent="0.25">
      <c r="A6" t="s">
        <v>26</v>
      </c>
      <c r="C6" t="str">
        <f t="shared" si="0"/>
        <v>Manila</v>
      </c>
      <c r="D6" t="s">
        <v>44</v>
      </c>
      <c r="G6" t="s">
        <v>54</v>
      </c>
      <c r="I6" t="s">
        <v>54</v>
      </c>
      <c r="K6" t="s">
        <v>54</v>
      </c>
    </row>
    <row r="7" spans="1:11" x14ac:dyDescent="0.25">
      <c r="A7" t="s">
        <v>22</v>
      </c>
      <c r="C7" t="str">
        <f t="shared" si="0"/>
        <v>Marikina</v>
      </c>
      <c r="D7" t="s">
        <v>54</v>
      </c>
      <c r="G7" t="s">
        <v>46</v>
      </c>
      <c r="I7" t="s">
        <v>46</v>
      </c>
      <c r="K7" t="s">
        <v>46</v>
      </c>
    </row>
    <row r="8" spans="1:11" x14ac:dyDescent="0.25">
      <c r="A8" t="s">
        <v>32</v>
      </c>
      <c r="C8" t="str">
        <f t="shared" si="0"/>
        <v>Muntinlupa</v>
      </c>
      <c r="D8" t="s">
        <v>46</v>
      </c>
      <c r="G8" t="s">
        <v>62</v>
      </c>
      <c r="I8" t="s">
        <v>62</v>
      </c>
      <c r="K8" t="s">
        <v>62</v>
      </c>
    </row>
    <row r="9" spans="1:11" x14ac:dyDescent="0.25">
      <c r="A9" t="s">
        <v>19</v>
      </c>
      <c r="C9" t="str">
        <f t="shared" si="0"/>
        <v>Navotas</v>
      </c>
      <c r="D9" t="s">
        <v>62</v>
      </c>
      <c r="G9" t="s">
        <v>57</v>
      </c>
      <c r="I9" t="s">
        <v>57</v>
      </c>
      <c r="K9" t="s">
        <v>57</v>
      </c>
    </row>
    <row r="10" spans="1:11" x14ac:dyDescent="0.25">
      <c r="A10" t="s">
        <v>30</v>
      </c>
      <c r="C10" t="str">
        <f t="shared" si="0"/>
        <v>Parañaque</v>
      </c>
      <c r="D10" t="s">
        <v>57</v>
      </c>
      <c r="G10" t="s">
        <v>50</v>
      </c>
      <c r="I10" t="s">
        <v>50</v>
      </c>
      <c r="K10" t="s">
        <v>50</v>
      </c>
    </row>
    <row r="11" spans="1:11" x14ac:dyDescent="0.25">
      <c r="A11" t="s">
        <v>29</v>
      </c>
      <c r="C11" t="str">
        <f t="shared" si="0"/>
        <v>Pasay</v>
      </c>
      <c r="D11" t="s">
        <v>50</v>
      </c>
      <c r="G11" t="s">
        <v>48</v>
      </c>
      <c r="I11" t="s">
        <v>48</v>
      </c>
      <c r="K11" t="s">
        <v>48</v>
      </c>
    </row>
    <row r="12" spans="1:11" x14ac:dyDescent="0.25">
      <c r="A12" t="s">
        <v>23</v>
      </c>
      <c r="C12" t="str">
        <f t="shared" si="0"/>
        <v>Pasig</v>
      </c>
      <c r="D12" t="s">
        <v>48</v>
      </c>
      <c r="G12" t="s">
        <v>63</v>
      </c>
      <c r="I12" t="s">
        <v>63</v>
      </c>
      <c r="K12" t="s">
        <v>63</v>
      </c>
    </row>
    <row r="13" spans="1:11" x14ac:dyDescent="0.25">
      <c r="A13" t="s">
        <v>33</v>
      </c>
      <c r="C13" t="str">
        <f t="shared" si="0"/>
        <v>Pateros</v>
      </c>
      <c r="D13" t="s">
        <v>63</v>
      </c>
      <c r="G13" t="s">
        <v>47</v>
      </c>
      <c r="I13" t="s">
        <v>47</v>
      </c>
      <c r="K13" t="s">
        <v>47</v>
      </c>
    </row>
    <row r="14" spans="1:11" x14ac:dyDescent="0.25">
      <c r="A14" t="s">
        <v>21</v>
      </c>
      <c r="C14" t="str">
        <f t="shared" si="0"/>
        <v>Quezon City</v>
      </c>
      <c r="D14" t="s">
        <v>47</v>
      </c>
      <c r="G14" t="s">
        <v>64</v>
      </c>
      <c r="I14" t="s">
        <v>64</v>
      </c>
      <c r="K14" t="s">
        <v>64</v>
      </c>
    </row>
    <row r="15" spans="1:11" x14ac:dyDescent="0.25">
      <c r="A15" t="s">
        <v>28</v>
      </c>
      <c r="C15" t="str">
        <f t="shared" si="0"/>
        <v>San Juan</v>
      </c>
      <c r="D15" t="s">
        <v>64</v>
      </c>
      <c r="G15" t="s">
        <v>41</v>
      </c>
      <c r="I15" t="s">
        <v>41</v>
      </c>
      <c r="K15" t="s">
        <v>41</v>
      </c>
    </row>
    <row r="16" spans="1:11" x14ac:dyDescent="0.25">
      <c r="A16" t="s">
        <v>24</v>
      </c>
      <c r="C16" t="str">
        <f t="shared" si="0"/>
        <v>Taguig</v>
      </c>
      <c r="D16" t="s">
        <v>41</v>
      </c>
      <c r="G16" t="s">
        <v>65</v>
      </c>
      <c r="I16" t="s">
        <v>65</v>
      </c>
      <c r="K16" t="s">
        <v>65</v>
      </c>
    </row>
    <row r="17" spans="1:4" x14ac:dyDescent="0.25">
      <c r="A17" t="s">
        <v>20</v>
      </c>
      <c r="C17" t="str">
        <f t="shared" si="0"/>
        <v>Valenzuela</v>
      </c>
      <c r="D17" t="s">
        <v>65</v>
      </c>
    </row>
  </sheetData>
  <sortState xmlns:xlrd2="http://schemas.microsoft.com/office/spreadsheetml/2017/richdata2" ref="A1:A1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 fr. SP201</vt:lpstr>
      <vt:lpstr>Week 1</vt:lpstr>
      <vt:lpstr>Week 2</vt:lpstr>
      <vt:lpstr>Week 3</vt:lpstr>
      <vt:lpstr>Week 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 Pastoril</dc:creator>
  <cp:lastModifiedBy>Kent Pastoril</cp:lastModifiedBy>
  <dcterms:created xsi:type="dcterms:W3CDTF">2020-04-25T12:02:44Z</dcterms:created>
  <dcterms:modified xsi:type="dcterms:W3CDTF">2021-01-10T18:23:28Z</dcterms:modified>
</cp:coreProperties>
</file>