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hidePivotFieldList="1" defaultThemeVersion="166925"/>
  <mc:AlternateContent xmlns:mc="http://schemas.openxmlformats.org/markup-compatibility/2006">
    <mc:Choice Requires="x15">
      <x15ac:absPath xmlns:x15ac="http://schemas.microsoft.com/office/spreadsheetml/2010/11/ac" url="D:\workspace\DS-Capstones\"/>
    </mc:Choice>
  </mc:AlternateContent>
  <xr:revisionPtr revIDLastSave="0" documentId="13_ncr:1_{A183B23D-371A-48AC-8CE4-11D744BB237B}" xr6:coauthVersionLast="46" xr6:coauthVersionMax="46" xr10:uidLastSave="{00000000-0000-0000-0000-000000000000}"/>
  <bookViews>
    <workbookView xWindow="-120" yWindow="-120" windowWidth="29040" windowHeight="15840" activeTab="5" xr2:uid="{0674A63C-0DD0-40B9-BFC5-365D36EFA2AA}"/>
  </bookViews>
  <sheets>
    <sheet name="week - 1" sheetId="1" r:id="rId1"/>
    <sheet name="Week - 2" sheetId="2" r:id="rId2"/>
    <sheet name="Week - 3" sheetId="9" r:id="rId3"/>
    <sheet name="Week - 4" sheetId="11" r:id="rId4"/>
    <sheet name="Week - 5" sheetId="12" r:id="rId5"/>
    <sheet name="CHART" sheetId="15" r:id="rId6"/>
    <sheet name="CHART-sample" sheetId="14" state="hidden" r:id="rId7"/>
    <sheet name="CHART-hidden" sheetId="13" state="hidden" r:id="rId8"/>
    <sheet name="Sheet1" sheetId="7" state="hidden" r:id="rId9"/>
  </sheets>
  <definedNames>
    <definedName name="_xlnm._FilterDatabase" localSheetId="7" hidden="1">'CHART-hidden'!$A$1:$L$42</definedName>
    <definedName name="_xlcn.WorksheetConnection_pastoril_tyronekent_SP201B01_capstone.xlsxTable24272451" hidden="1">Table2427245[]</definedName>
    <definedName name="Slicer_Location_of_Residence">#N/A</definedName>
    <definedName name="Slicer_Time_of_Departure__from_Home">#N/A</definedName>
    <definedName name="Slicer_Time_of_Departure__from_Work">#N/A</definedName>
    <definedName name="Slicer_Workplace_Location">#N/A</definedName>
    <definedName name="sum">'week - 1'!$G$1:$G$2</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427245" name="Table2427245" connection="WorksheetConnection_pastoril_tyronekent_SP201B01_capstone.xlsx!Table242724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3" l="1"/>
  <c r="M2" i="13"/>
  <c r="N2" i="13"/>
  <c r="H3" i="13"/>
  <c r="M3" i="13"/>
  <c r="N3" i="13"/>
  <c r="H4" i="13"/>
  <c r="M4" i="13"/>
  <c r="N4" i="13"/>
  <c r="H5" i="13"/>
  <c r="M5" i="13"/>
  <c r="N5" i="13"/>
  <c r="H6" i="13"/>
  <c r="M6" i="13"/>
  <c r="N6" i="13"/>
  <c r="H7" i="13"/>
  <c r="M7" i="13"/>
  <c r="N7" i="13"/>
  <c r="H8" i="13"/>
  <c r="M8" i="13"/>
  <c r="N8" i="13"/>
  <c r="H9" i="13"/>
  <c r="M9" i="13"/>
  <c r="N9" i="13"/>
  <c r="H10" i="13"/>
  <c r="M10" i="13"/>
  <c r="N10" i="13"/>
  <c r="H11" i="13"/>
  <c r="M11" i="13"/>
  <c r="N11" i="13"/>
  <c r="H12" i="13"/>
  <c r="M12" i="13"/>
  <c r="N12" i="13"/>
  <c r="H13" i="13"/>
  <c r="M13" i="13"/>
  <c r="N13" i="13"/>
  <c r="H14" i="13"/>
  <c r="M14" i="13"/>
  <c r="N14" i="13"/>
  <c r="H15" i="13"/>
  <c r="M15" i="13"/>
  <c r="N15" i="13"/>
  <c r="H16" i="13"/>
  <c r="M16" i="13"/>
  <c r="N16" i="13"/>
  <c r="H17" i="13"/>
  <c r="M17" i="13"/>
  <c r="N17" i="13"/>
  <c r="H18" i="13"/>
  <c r="M18" i="13"/>
  <c r="N18" i="13"/>
  <c r="H19" i="13"/>
  <c r="M19" i="13"/>
  <c r="N19" i="13"/>
  <c r="H20" i="13"/>
  <c r="M20" i="13"/>
  <c r="N20" i="13"/>
  <c r="H21" i="13"/>
  <c r="M21" i="13"/>
  <c r="N21" i="13"/>
  <c r="H22" i="13"/>
  <c r="M22" i="13"/>
  <c r="N22" i="13"/>
  <c r="H23" i="13"/>
  <c r="M23" i="13"/>
  <c r="N23" i="13"/>
  <c r="H24" i="13"/>
  <c r="M24" i="13"/>
  <c r="N24" i="13"/>
  <c r="H25" i="13"/>
  <c r="M25" i="13"/>
  <c r="N25" i="13"/>
  <c r="H26" i="13"/>
  <c r="M26" i="13"/>
  <c r="N26" i="13"/>
  <c r="H27" i="13"/>
  <c r="M27" i="13"/>
  <c r="N27" i="13"/>
  <c r="H28" i="13"/>
  <c r="M28" i="13"/>
  <c r="N28" i="13"/>
  <c r="H29" i="13"/>
  <c r="M29" i="13"/>
  <c r="N29" i="13"/>
  <c r="H30" i="13"/>
  <c r="M30" i="13"/>
  <c r="N30" i="13"/>
  <c r="H31" i="13"/>
  <c r="M31" i="13"/>
  <c r="N31" i="13"/>
  <c r="H32" i="13"/>
  <c r="M32" i="13"/>
  <c r="N32" i="13"/>
  <c r="H33" i="13"/>
  <c r="M33" i="13"/>
  <c r="N33" i="13"/>
  <c r="H34" i="13"/>
  <c r="M34" i="13"/>
  <c r="N34" i="13"/>
  <c r="H35" i="13"/>
  <c r="M35" i="13"/>
  <c r="N35" i="13"/>
  <c r="H36" i="13"/>
  <c r="M36" i="13"/>
  <c r="N36" i="13"/>
  <c r="H37" i="13"/>
  <c r="M37" i="13"/>
  <c r="N37" i="13"/>
  <c r="H38" i="13"/>
  <c r="M38" i="13"/>
  <c r="N38" i="13"/>
  <c r="H39" i="13"/>
  <c r="M39" i="13"/>
  <c r="N39" i="13"/>
  <c r="H40" i="13"/>
  <c r="M40" i="13"/>
  <c r="N40" i="13"/>
  <c r="H41" i="13"/>
  <c r="M41" i="13"/>
  <c r="N41" i="13"/>
  <c r="H42" i="13"/>
  <c r="M42" i="13"/>
  <c r="N42" i="13"/>
  <c r="S10" i="9"/>
  <c r="AD12" i="12" l="1"/>
  <c r="AE12" i="12" s="1"/>
  <c r="U12" i="12"/>
  <c r="V12" i="12" s="1"/>
  <c r="S12" i="12"/>
  <c r="T12" i="12" s="1"/>
  <c r="M12" i="12"/>
  <c r="AD4" i="12"/>
  <c r="AE4" i="12" s="1"/>
  <c r="U4" i="12"/>
  <c r="V4" i="12" s="1"/>
  <c r="S4" i="12"/>
  <c r="T4" i="12" s="1"/>
  <c r="M4" i="12"/>
  <c r="N4" i="12" s="1"/>
  <c r="AD29" i="12"/>
  <c r="AE29" i="12" s="1"/>
  <c r="U29" i="12"/>
  <c r="V29" i="12" s="1"/>
  <c r="S29" i="12"/>
  <c r="T29" i="12" s="1"/>
  <c r="M29" i="12"/>
  <c r="N29" i="12" s="1"/>
  <c r="AD33" i="12"/>
  <c r="AE33" i="12" s="1"/>
  <c r="U33" i="12"/>
  <c r="V33" i="12" s="1"/>
  <c r="S33" i="12"/>
  <c r="T33" i="12" s="1"/>
  <c r="M33" i="12"/>
  <c r="AD14" i="12"/>
  <c r="AE14" i="12" s="1"/>
  <c r="U14" i="12"/>
  <c r="V14" i="12" s="1"/>
  <c r="S14" i="12"/>
  <c r="T14" i="12" s="1"/>
  <c r="M14" i="12"/>
  <c r="N14" i="12" s="1"/>
  <c r="AD25" i="12"/>
  <c r="AE25" i="12" s="1"/>
  <c r="U25" i="12"/>
  <c r="V25" i="12" s="1"/>
  <c r="S25" i="12"/>
  <c r="T25" i="12" s="1"/>
  <c r="M25" i="12"/>
  <c r="N25" i="12" s="1"/>
  <c r="AD22" i="12"/>
  <c r="AE22" i="12" s="1"/>
  <c r="U22" i="12"/>
  <c r="V22" i="12" s="1"/>
  <c r="S22" i="12"/>
  <c r="T22" i="12" s="1"/>
  <c r="M22" i="12"/>
  <c r="N22" i="12" s="1"/>
  <c r="AD40" i="12"/>
  <c r="AE40" i="12" s="1"/>
  <c r="U40" i="12"/>
  <c r="V40" i="12" s="1"/>
  <c r="S40" i="12"/>
  <c r="T40" i="12" s="1"/>
  <c r="M40" i="12"/>
  <c r="N40" i="12" s="1"/>
  <c r="AD32" i="12"/>
  <c r="AE32" i="12" s="1"/>
  <c r="U32" i="12"/>
  <c r="V32" i="12" s="1"/>
  <c r="S32" i="12"/>
  <c r="T32" i="12" s="1"/>
  <c r="M32" i="12"/>
  <c r="N32" i="12" s="1"/>
  <c r="AD11" i="12"/>
  <c r="AE11" i="12" s="1"/>
  <c r="U11" i="12"/>
  <c r="V11" i="12" s="1"/>
  <c r="S11" i="12"/>
  <c r="T11" i="12" s="1"/>
  <c r="M11" i="12"/>
  <c r="N11" i="12" s="1"/>
  <c r="AD5" i="12"/>
  <c r="AE5" i="12" s="1"/>
  <c r="U5" i="12"/>
  <c r="V5" i="12" s="1"/>
  <c r="S5" i="12"/>
  <c r="T5" i="12" s="1"/>
  <c r="M5" i="12"/>
  <c r="N5" i="12" s="1"/>
  <c r="AD34" i="12"/>
  <c r="AE34" i="12" s="1"/>
  <c r="U34" i="12"/>
  <c r="V34" i="12" s="1"/>
  <c r="S34" i="12"/>
  <c r="T34" i="12" s="1"/>
  <c r="M34" i="12"/>
  <c r="N34" i="12" s="1"/>
  <c r="AD36" i="12"/>
  <c r="AE36" i="12" s="1"/>
  <c r="U36" i="12"/>
  <c r="V36" i="12" s="1"/>
  <c r="S36" i="12"/>
  <c r="T36" i="12" s="1"/>
  <c r="M36" i="12"/>
  <c r="N36" i="12" s="1"/>
  <c r="AD31" i="12"/>
  <c r="AE31" i="12" s="1"/>
  <c r="U31" i="12"/>
  <c r="V31" i="12" s="1"/>
  <c r="S31" i="12"/>
  <c r="T31" i="12" s="1"/>
  <c r="M31" i="12"/>
  <c r="N31" i="12" s="1"/>
  <c r="AD39" i="12"/>
  <c r="AE39" i="12" s="1"/>
  <c r="U39" i="12"/>
  <c r="V39" i="12" s="1"/>
  <c r="S39" i="12"/>
  <c r="T39" i="12" s="1"/>
  <c r="M39" i="12"/>
  <c r="N39" i="12" s="1"/>
  <c r="AD16" i="12"/>
  <c r="AE16" i="12" s="1"/>
  <c r="U16" i="12"/>
  <c r="V16" i="12" s="1"/>
  <c r="S16" i="12"/>
  <c r="T16" i="12" s="1"/>
  <c r="M16" i="12"/>
  <c r="N16" i="12" s="1"/>
  <c r="AD35" i="12"/>
  <c r="AE35" i="12" s="1"/>
  <c r="U35" i="12"/>
  <c r="V35" i="12" s="1"/>
  <c r="S35" i="12"/>
  <c r="T35" i="12" s="1"/>
  <c r="M35" i="12"/>
  <c r="N35" i="12" s="1"/>
  <c r="AD27" i="12"/>
  <c r="AE27" i="12" s="1"/>
  <c r="U27" i="12"/>
  <c r="V27" i="12" s="1"/>
  <c r="S27" i="12"/>
  <c r="T27" i="12" s="1"/>
  <c r="M27" i="12"/>
  <c r="N27" i="12" s="1"/>
  <c r="AD24" i="12"/>
  <c r="AE24" i="12" s="1"/>
  <c r="U24" i="12"/>
  <c r="V24" i="12" s="1"/>
  <c r="S24" i="12"/>
  <c r="T24" i="12" s="1"/>
  <c r="M24" i="12"/>
  <c r="N24" i="12" s="1"/>
  <c r="AD17" i="12"/>
  <c r="AE17" i="12" s="1"/>
  <c r="U17" i="12"/>
  <c r="V17" i="12" s="1"/>
  <c r="S17" i="12"/>
  <c r="T17" i="12" s="1"/>
  <c r="M17" i="12"/>
  <c r="N17" i="12" s="1"/>
  <c r="AD3" i="12"/>
  <c r="AE3" i="12" s="1"/>
  <c r="U3" i="12"/>
  <c r="V3" i="12" s="1"/>
  <c r="S3" i="12"/>
  <c r="T3" i="12" s="1"/>
  <c r="M3" i="12"/>
  <c r="N3" i="12" s="1"/>
  <c r="AD7" i="12"/>
  <c r="AE7" i="12" s="1"/>
  <c r="U7" i="12"/>
  <c r="V7" i="12" s="1"/>
  <c r="S7" i="12"/>
  <c r="T7" i="12" s="1"/>
  <c r="M7" i="12"/>
  <c r="N7" i="12" s="1"/>
  <c r="AD15" i="12"/>
  <c r="AE15" i="12" s="1"/>
  <c r="U15" i="12"/>
  <c r="V15" i="12" s="1"/>
  <c r="S15" i="12"/>
  <c r="T15" i="12" s="1"/>
  <c r="M15" i="12"/>
  <c r="N15" i="12" s="1"/>
  <c r="AD13" i="12"/>
  <c r="AE13" i="12" s="1"/>
  <c r="U13" i="12"/>
  <c r="V13" i="12" s="1"/>
  <c r="S13" i="12"/>
  <c r="T13" i="12" s="1"/>
  <c r="M13" i="12"/>
  <c r="N13" i="12" s="1"/>
  <c r="AD28" i="12"/>
  <c r="AE28" i="12" s="1"/>
  <c r="U28" i="12"/>
  <c r="V28" i="12" s="1"/>
  <c r="S28" i="12"/>
  <c r="T28" i="12" s="1"/>
  <c r="M28" i="12"/>
  <c r="N28" i="12" s="1"/>
  <c r="AD26" i="12"/>
  <c r="AE26" i="12" s="1"/>
  <c r="U26" i="12"/>
  <c r="V26" i="12" s="1"/>
  <c r="S26" i="12"/>
  <c r="T26" i="12" s="1"/>
  <c r="M26" i="12"/>
  <c r="N26" i="12" s="1"/>
  <c r="AD18" i="12"/>
  <c r="AE18" i="12" s="1"/>
  <c r="U18" i="12"/>
  <c r="V18" i="12" s="1"/>
  <c r="S18" i="12"/>
  <c r="T18" i="12" s="1"/>
  <c r="M18" i="12"/>
  <c r="N18" i="12" s="1"/>
  <c r="AD38" i="12"/>
  <c r="AE38" i="12" s="1"/>
  <c r="U38" i="12"/>
  <c r="V38" i="12" s="1"/>
  <c r="S38" i="12"/>
  <c r="T38" i="12" s="1"/>
  <c r="M38" i="12"/>
  <c r="N38" i="12" s="1"/>
  <c r="AD30" i="12"/>
  <c r="AE30" i="12" s="1"/>
  <c r="U30" i="12"/>
  <c r="V30" i="12" s="1"/>
  <c r="S30" i="12"/>
  <c r="T30" i="12" s="1"/>
  <c r="M30" i="12"/>
  <c r="N30" i="12" s="1"/>
  <c r="AD9" i="12"/>
  <c r="AE9" i="12" s="1"/>
  <c r="U9" i="12"/>
  <c r="V9" i="12" s="1"/>
  <c r="S9" i="12"/>
  <c r="T9" i="12" s="1"/>
  <c r="M9" i="12"/>
  <c r="N9" i="12" s="1"/>
  <c r="AD37" i="12"/>
  <c r="AE37" i="12" s="1"/>
  <c r="U37" i="12"/>
  <c r="V37" i="12" s="1"/>
  <c r="S37" i="12"/>
  <c r="T37" i="12" s="1"/>
  <c r="M37" i="12"/>
  <c r="N37" i="12" s="1"/>
  <c r="AD41" i="12"/>
  <c r="AE41" i="12" s="1"/>
  <c r="U41" i="12"/>
  <c r="V41" i="12" s="1"/>
  <c r="S41" i="12"/>
  <c r="T41" i="12" s="1"/>
  <c r="M41" i="12"/>
  <c r="N41" i="12" s="1"/>
  <c r="AD23" i="12"/>
  <c r="AE23" i="12" s="1"/>
  <c r="U23" i="12"/>
  <c r="V23" i="12" s="1"/>
  <c r="S23" i="12"/>
  <c r="T23" i="12" s="1"/>
  <c r="M23" i="12"/>
  <c r="N23" i="12" s="1"/>
  <c r="AD10" i="12"/>
  <c r="AE10" i="12" s="1"/>
  <c r="U10" i="12"/>
  <c r="V10" i="12" s="1"/>
  <c r="S10" i="12"/>
  <c r="T10" i="12" s="1"/>
  <c r="M10" i="12"/>
  <c r="N10" i="12" s="1"/>
  <c r="AD21" i="12"/>
  <c r="AE21" i="12" s="1"/>
  <c r="U21" i="12"/>
  <c r="V21" i="12" s="1"/>
  <c r="S21" i="12"/>
  <c r="T21" i="12" s="1"/>
  <c r="M21" i="12"/>
  <c r="N21" i="12" s="1"/>
  <c r="AD2" i="12"/>
  <c r="U2" i="12"/>
  <c r="V2" i="12" s="1"/>
  <c r="S2" i="12"/>
  <c r="T2" i="12" s="1"/>
  <c r="M2" i="12"/>
  <c r="N2" i="12" s="1"/>
  <c r="AD6" i="12"/>
  <c r="AE6" i="12" s="1"/>
  <c r="U6" i="12"/>
  <c r="V6" i="12" s="1"/>
  <c r="S6" i="12"/>
  <c r="T6" i="12" s="1"/>
  <c r="M6" i="12"/>
  <c r="N6" i="12" s="1"/>
  <c r="AD19" i="12"/>
  <c r="AE19" i="12" s="1"/>
  <c r="U19" i="12"/>
  <c r="V19" i="12" s="1"/>
  <c r="S19" i="12"/>
  <c r="T19" i="12" s="1"/>
  <c r="M19" i="12"/>
  <c r="N19" i="12" s="1"/>
  <c r="AD8" i="12"/>
  <c r="AE8" i="12" s="1"/>
  <c r="U8" i="12"/>
  <c r="V8" i="12" s="1"/>
  <c r="S8" i="12"/>
  <c r="T8" i="12" s="1"/>
  <c r="M8" i="12"/>
  <c r="N8" i="12" s="1"/>
  <c r="AD20" i="12"/>
  <c r="AE20" i="12" s="1"/>
  <c r="U20" i="12"/>
  <c r="V20" i="12" s="1"/>
  <c r="S20" i="12"/>
  <c r="T20" i="12" s="1"/>
  <c r="M20" i="12"/>
  <c r="N20" i="12" s="1"/>
  <c r="M6" i="11"/>
  <c r="R6" i="11"/>
  <c r="S6" i="11"/>
  <c r="AA6" i="11"/>
  <c r="AB6" i="11" s="1"/>
  <c r="M2" i="11"/>
  <c r="R2" i="11"/>
  <c r="S2" i="11"/>
  <c r="AA2" i="11"/>
  <c r="AB2" i="11" s="1"/>
  <c r="M31" i="11"/>
  <c r="R31" i="11"/>
  <c r="S31" i="11"/>
  <c r="AA31" i="11"/>
  <c r="AB31" i="11" s="1"/>
  <c r="M41" i="11"/>
  <c r="R41" i="11"/>
  <c r="S41" i="11"/>
  <c r="AA41" i="11"/>
  <c r="AB41" i="11" s="1"/>
  <c r="M4" i="11"/>
  <c r="R4" i="11"/>
  <c r="S4" i="11"/>
  <c r="AA4" i="11"/>
  <c r="AB4" i="11" s="1"/>
  <c r="M28" i="11"/>
  <c r="R28" i="11"/>
  <c r="S28" i="11"/>
  <c r="AA28" i="11"/>
  <c r="AB28" i="11" s="1"/>
  <c r="M37" i="11"/>
  <c r="R37" i="11"/>
  <c r="S37" i="11"/>
  <c r="AA37" i="11"/>
  <c r="AB37" i="11" s="1"/>
  <c r="M33" i="11"/>
  <c r="R33" i="11"/>
  <c r="S33" i="11"/>
  <c r="AA33" i="11"/>
  <c r="AB33" i="11" s="1"/>
  <c r="M14" i="11"/>
  <c r="R14" i="11"/>
  <c r="S14" i="11"/>
  <c r="AA14" i="11"/>
  <c r="AB14" i="11" s="1"/>
  <c r="M30" i="11"/>
  <c r="R30" i="11"/>
  <c r="S30" i="11"/>
  <c r="AA30" i="11"/>
  <c r="AB30" i="11" s="1"/>
  <c r="AA12" i="11"/>
  <c r="AB12" i="11" s="1"/>
  <c r="S12" i="11"/>
  <c r="R12" i="11"/>
  <c r="M12" i="11"/>
  <c r="AA17" i="11"/>
  <c r="AB17" i="11" s="1"/>
  <c r="S17" i="11"/>
  <c r="R17" i="11"/>
  <c r="M17" i="11"/>
  <c r="AA34" i="11"/>
  <c r="AB34" i="11" s="1"/>
  <c r="S34" i="11"/>
  <c r="R34" i="11"/>
  <c r="M34" i="11"/>
  <c r="AA26" i="11"/>
  <c r="AB26" i="11" s="1"/>
  <c r="S26" i="11"/>
  <c r="R26" i="11"/>
  <c r="M26" i="11"/>
  <c r="AA23" i="11"/>
  <c r="AB23" i="11" s="1"/>
  <c r="S23" i="11"/>
  <c r="R23" i="11"/>
  <c r="M23" i="11"/>
  <c r="AA11" i="11"/>
  <c r="AB11" i="11" s="1"/>
  <c r="S11" i="11"/>
  <c r="R11" i="11"/>
  <c r="M11" i="11"/>
  <c r="AA5" i="11"/>
  <c r="AB5" i="11" s="1"/>
  <c r="S5" i="11"/>
  <c r="R5" i="11"/>
  <c r="M5" i="11"/>
  <c r="AA35" i="11"/>
  <c r="AB35" i="11" s="1"/>
  <c r="S35" i="11"/>
  <c r="R35" i="11"/>
  <c r="M35" i="11"/>
  <c r="AA32" i="11"/>
  <c r="AB32" i="11" s="1"/>
  <c r="S32" i="11"/>
  <c r="R32" i="11"/>
  <c r="M32" i="11"/>
  <c r="AA40" i="11"/>
  <c r="AB40" i="11" s="1"/>
  <c r="S40" i="11"/>
  <c r="R40" i="11"/>
  <c r="M40" i="11"/>
  <c r="AA16" i="11"/>
  <c r="AB16" i="11" s="1"/>
  <c r="S16" i="11"/>
  <c r="R16" i="11"/>
  <c r="M16" i="11"/>
  <c r="AA36" i="11"/>
  <c r="AB36" i="11" s="1"/>
  <c r="S36" i="11"/>
  <c r="R36" i="11"/>
  <c r="M36" i="11"/>
  <c r="AA25" i="11"/>
  <c r="AB25" i="11" s="1"/>
  <c r="S25" i="11"/>
  <c r="R25" i="11"/>
  <c r="M25" i="11"/>
  <c r="AA18" i="11"/>
  <c r="AB18" i="11" s="1"/>
  <c r="S18" i="11"/>
  <c r="R18" i="11"/>
  <c r="M18" i="11"/>
  <c r="AA3" i="11"/>
  <c r="AB3" i="11" s="1"/>
  <c r="S3" i="11"/>
  <c r="R3" i="11"/>
  <c r="M3" i="11"/>
  <c r="AA7" i="11"/>
  <c r="AB7" i="11" s="1"/>
  <c r="S7" i="11"/>
  <c r="R7" i="11"/>
  <c r="M7" i="11"/>
  <c r="AA15" i="11"/>
  <c r="AB15" i="11" s="1"/>
  <c r="S15" i="11"/>
  <c r="R15" i="11"/>
  <c r="M15" i="11"/>
  <c r="AA13" i="11"/>
  <c r="AB13" i="11" s="1"/>
  <c r="S13" i="11"/>
  <c r="R13" i="11"/>
  <c r="M13" i="11"/>
  <c r="AA29" i="11"/>
  <c r="AB29" i="11" s="1"/>
  <c r="S29" i="11"/>
  <c r="R29" i="11"/>
  <c r="M29" i="11"/>
  <c r="AA27" i="11"/>
  <c r="AB27" i="11" s="1"/>
  <c r="S27" i="11"/>
  <c r="R27" i="11"/>
  <c r="M27" i="11"/>
  <c r="AA19" i="11"/>
  <c r="AB19" i="11" s="1"/>
  <c r="S19" i="11"/>
  <c r="R19" i="11"/>
  <c r="M19" i="11"/>
  <c r="AA39" i="11"/>
  <c r="AB39" i="11" s="1"/>
  <c r="S39" i="11"/>
  <c r="R39" i="11"/>
  <c r="M39" i="11"/>
  <c r="AA9" i="11"/>
  <c r="AB9" i="11" s="1"/>
  <c r="S9" i="11"/>
  <c r="R9" i="11"/>
  <c r="M9" i="11"/>
  <c r="AA38" i="11"/>
  <c r="AB38" i="11" s="1"/>
  <c r="S38" i="11"/>
  <c r="R38" i="11"/>
  <c r="M38" i="11"/>
  <c r="AA42" i="11"/>
  <c r="AB42" i="11" s="1"/>
  <c r="S42" i="11"/>
  <c r="R42" i="11"/>
  <c r="M42" i="11"/>
  <c r="AA24" i="11"/>
  <c r="AB24" i="11" s="1"/>
  <c r="S24" i="11"/>
  <c r="R24" i="11"/>
  <c r="M24" i="11"/>
  <c r="AA10" i="11"/>
  <c r="AB10" i="11" s="1"/>
  <c r="S10" i="11"/>
  <c r="R10" i="11"/>
  <c r="M10" i="11"/>
  <c r="AA21" i="11"/>
  <c r="AB21" i="11" s="1"/>
  <c r="S21" i="11"/>
  <c r="R21" i="11"/>
  <c r="M21" i="11"/>
  <c r="AA20" i="11"/>
  <c r="AB20" i="11" s="1"/>
  <c r="S20" i="11"/>
  <c r="R20" i="11"/>
  <c r="M20" i="11"/>
  <c r="AA8" i="11"/>
  <c r="AB8" i="11" s="1"/>
  <c r="S8" i="11"/>
  <c r="R8" i="11"/>
  <c r="M8" i="11"/>
  <c r="AA22" i="11"/>
  <c r="AB22" i="11" s="1"/>
  <c r="S22" i="11"/>
  <c r="R22" i="11"/>
  <c r="M22" i="11"/>
  <c r="S6" i="9"/>
  <c r="S16" i="9"/>
  <c r="S19" i="9"/>
  <c r="S2" i="9"/>
  <c r="S13" i="9"/>
  <c r="S17" i="9"/>
  <c r="S20" i="9"/>
  <c r="S8" i="9"/>
  <c r="S4" i="9"/>
  <c r="S5" i="9"/>
  <c r="S12" i="9"/>
  <c r="S9" i="9"/>
  <c r="S7" i="9"/>
  <c r="S18" i="9"/>
  <c r="S11" i="9"/>
  <c r="S15" i="9"/>
  <c r="S21" i="9"/>
  <c r="S3" i="9"/>
  <c r="S14" i="9"/>
  <c r="M16" i="9"/>
  <c r="M19" i="9"/>
  <c r="M10" i="9"/>
  <c r="M2" i="9"/>
  <c r="M13" i="9"/>
  <c r="M17" i="9"/>
  <c r="M20" i="9"/>
  <c r="M8" i="9"/>
  <c r="M4" i="9"/>
  <c r="M5" i="9"/>
  <c r="M12" i="9"/>
  <c r="M9" i="9"/>
  <c r="M7" i="9"/>
  <c r="M18" i="9"/>
  <c r="M11" i="9"/>
  <c r="M15" i="9"/>
  <c r="M21" i="9"/>
  <c r="M3" i="9"/>
  <c r="M14" i="9"/>
  <c r="R16" i="9"/>
  <c r="AA16" i="9"/>
  <c r="AB16" i="9" s="1"/>
  <c r="R19" i="9"/>
  <c r="AA19" i="9"/>
  <c r="AB19" i="9" s="1"/>
  <c r="R10" i="9"/>
  <c r="AA10" i="9"/>
  <c r="AB10" i="9" s="1"/>
  <c r="R2" i="9"/>
  <c r="AA2" i="9"/>
  <c r="AB2" i="9" s="1"/>
  <c r="R13" i="9"/>
  <c r="AA13" i="9"/>
  <c r="AB13" i="9" s="1"/>
  <c r="R17" i="9"/>
  <c r="AA17" i="9"/>
  <c r="AB17" i="9" s="1"/>
  <c r="R20" i="9"/>
  <c r="AA20" i="9"/>
  <c r="AB20" i="9" s="1"/>
  <c r="R8" i="9"/>
  <c r="AA8" i="9"/>
  <c r="AB8" i="9" s="1"/>
  <c r="R4" i="9"/>
  <c r="AA4" i="9"/>
  <c r="AB4" i="9" s="1"/>
  <c r="R5" i="9"/>
  <c r="AA5" i="9"/>
  <c r="AB5" i="9" s="1"/>
  <c r="R12" i="9"/>
  <c r="AA12" i="9"/>
  <c r="AB12" i="9" s="1"/>
  <c r="R9" i="9"/>
  <c r="AA9" i="9"/>
  <c r="AB9" i="9" s="1"/>
  <c r="R7" i="9"/>
  <c r="AA7" i="9"/>
  <c r="AB7" i="9" s="1"/>
  <c r="R18" i="9"/>
  <c r="AA18" i="9"/>
  <c r="AB18" i="9" s="1"/>
  <c r="R11" i="9"/>
  <c r="AA11" i="9"/>
  <c r="AB11" i="9" s="1"/>
  <c r="R15" i="9"/>
  <c r="AA15" i="9"/>
  <c r="AB15" i="9" s="1"/>
  <c r="R21" i="9"/>
  <c r="AA21" i="9"/>
  <c r="AB21" i="9" s="1"/>
  <c r="R3" i="9"/>
  <c r="AA3" i="9"/>
  <c r="AB3" i="9" s="1"/>
  <c r="R14" i="9"/>
  <c r="AA14" i="9"/>
  <c r="AB14" i="9" s="1"/>
  <c r="R6" i="9"/>
  <c r="AA6" i="9"/>
  <c r="AB6" i="9" s="1"/>
  <c r="M6" i="9"/>
  <c r="U6" i="11" l="1"/>
  <c r="V6" i="11" s="1"/>
  <c r="T43" i="12"/>
  <c r="AE2" i="12"/>
  <c r="AE43" i="12" s="1"/>
  <c r="AD43" i="12"/>
  <c r="U4" i="11"/>
  <c r="V4" i="11" s="1"/>
  <c r="U41" i="11"/>
  <c r="V41" i="11" s="1"/>
  <c r="U31" i="11"/>
  <c r="V31" i="11" s="1"/>
  <c r="W31" i="11" s="1"/>
  <c r="U2" i="11"/>
  <c r="V2" i="11" s="1"/>
  <c r="W2" i="11" s="1"/>
  <c r="X12" i="12"/>
  <c r="Y12" i="12" s="1"/>
  <c r="N12" i="12"/>
  <c r="X33" i="12"/>
  <c r="Y33" i="12" s="1"/>
  <c r="AA33" i="12" s="1"/>
  <c r="N33" i="12"/>
  <c r="P31" i="13"/>
  <c r="P37" i="13"/>
  <c r="P12" i="13"/>
  <c r="P19" i="13"/>
  <c r="P2" i="13"/>
  <c r="P23" i="13"/>
  <c r="P34" i="13"/>
  <c r="P38" i="13"/>
  <c r="P13" i="13"/>
  <c r="P40" i="13"/>
  <c r="P8" i="13"/>
  <c r="P9" i="13"/>
  <c r="P22" i="13"/>
  <c r="P16" i="13"/>
  <c r="P11" i="13"/>
  <c r="P36" i="13"/>
  <c r="P21" i="13"/>
  <c r="P26" i="13"/>
  <c r="P42" i="13"/>
  <c r="P6" i="13"/>
  <c r="P39" i="13"/>
  <c r="P25" i="13"/>
  <c r="P3" i="13"/>
  <c r="P7" i="13"/>
  <c r="P27" i="13"/>
  <c r="P32" i="13"/>
  <c r="P17" i="13"/>
  <c r="P41" i="13"/>
  <c r="P18" i="13"/>
  <c r="P30" i="13"/>
  <c r="P35" i="13"/>
  <c r="P28" i="13"/>
  <c r="P20" i="13"/>
  <c r="P14" i="13"/>
  <c r="P5" i="13"/>
  <c r="P4" i="13"/>
  <c r="P15" i="13"/>
  <c r="P33" i="13"/>
  <c r="P29" i="13"/>
  <c r="P10" i="13"/>
  <c r="P24" i="13"/>
  <c r="U5" i="11"/>
  <c r="V5" i="11" s="1"/>
  <c r="U28" i="11"/>
  <c r="V28" i="11" s="1"/>
  <c r="W28" i="11" s="1"/>
  <c r="X30" i="12"/>
  <c r="Y30" i="12" s="1"/>
  <c r="X6" i="12"/>
  <c r="Y6" i="12" s="1"/>
  <c r="X38" i="12"/>
  <c r="Y38" i="12" s="1"/>
  <c r="X18" i="12"/>
  <c r="Y18" i="12" s="1"/>
  <c r="X26" i="12"/>
  <c r="Y26" i="12" s="1"/>
  <c r="X28" i="12"/>
  <c r="Y28" i="12" s="1"/>
  <c r="X13" i="12"/>
  <c r="Y13" i="12" s="1"/>
  <c r="X15" i="12"/>
  <c r="Y15" i="12" s="1"/>
  <c r="X7" i="12"/>
  <c r="Y7" i="12" s="1"/>
  <c r="X3" i="12"/>
  <c r="Y3" i="12" s="1"/>
  <c r="X35" i="12"/>
  <c r="Y35" i="12" s="1"/>
  <c r="X36" i="12"/>
  <c r="Y36" i="12" s="1"/>
  <c r="X5" i="12"/>
  <c r="Y5" i="12" s="1"/>
  <c r="X11" i="12"/>
  <c r="Y11" i="12" s="1"/>
  <c r="X32" i="12"/>
  <c r="Y32" i="12" s="1"/>
  <c r="X22" i="12"/>
  <c r="Y22" i="12" s="1"/>
  <c r="X25" i="12"/>
  <c r="Y25" i="12" s="1"/>
  <c r="X14" i="12"/>
  <c r="Y14" i="12" s="1"/>
  <c r="X8" i="12"/>
  <c r="Y8" i="12" s="1"/>
  <c r="X4" i="12"/>
  <c r="Y4" i="12" s="1"/>
  <c r="X2" i="12"/>
  <c r="Y2" i="12" s="1"/>
  <c r="X21" i="12"/>
  <c r="Y21" i="12" s="1"/>
  <c r="X23" i="12"/>
  <c r="Y23" i="12" s="1"/>
  <c r="X41" i="12"/>
  <c r="Y41" i="12" s="1"/>
  <c r="X16" i="12"/>
  <c r="Y16" i="12" s="1"/>
  <c r="X19" i="12"/>
  <c r="Y19" i="12" s="1"/>
  <c r="X37" i="12"/>
  <c r="Y37" i="12" s="1"/>
  <c r="X9" i="12"/>
  <c r="Y9" i="12" s="1"/>
  <c r="X40" i="12"/>
  <c r="Y40" i="12" s="1"/>
  <c r="X10" i="12"/>
  <c r="Y10" i="12" s="1"/>
  <c r="X24" i="12"/>
  <c r="Y24" i="12" s="1"/>
  <c r="X27" i="12"/>
  <c r="Y27" i="12" s="1"/>
  <c r="X39" i="12"/>
  <c r="Y39" i="12" s="1"/>
  <c r="X31" i="12"/>
  <c r="Y31" i="12" s="1"/>
  <c r="X29" i="12"/>
  <c r="Y29" i="12" s="1"/>
  <c r="X34" i="12"/>
  <c r="Y34" i="12" s="1"/>
  <c r="X20" i="12"/>
  <c r="X17" i="12"/>
  <c r="Y17" i="12" s="1"/>
  <c r="U30" i="11"/>
  <c r="V30" i="11" s="1"/>
  <c r="W30" i="11" s="1"/>
  <c r="U14" i="11"/>
  <c r="V14" i="11" s="1"/>
  <c r="W14" i="11" s="1"/>
  <c r="U33" i="11"/>
  <c r="V33" i="11" s="1"/>
  <c r="Y33" i="11" s="1"/>
  <c r="Z33" i="11" s="1"/>
  <c r="U37" i="11"/>
  <c r="V37" i="11" s="1"/>
  <c r="X37" i="11" s="1"/>
  <c r="W6" i="11"/>
  <c r="X6" i="11"/>
  <c r="Y6" i="11"/>
  <c r="Z6" i="11" s="1"/>
  <c r="Y31" i="11"/>
  <c r="Z31" i="11" s="1"/>
  <c r="X31" i="11"/>
  <c r="W41" i="11"/>
  <c r="Y41" i="11"/>
  <c r="Z41" i="11" s="1"/>
  <c r="X41" i="11"/>
  <c r="W4" i="11"/>
  <c r="Y4" i="11"/>
  <c r="Z4" i="11" s="1"/>
  <c r="X4" i="11"/>
  <c r="U29" i="11"/>
  <c r="V29" i="11" s="1"/>
  <c r="X29" i="11" s="1"/>
  <c r="U13" i="11"/>
  <c r="V13" i="11" s="1"/>
  <c r="X13" i="11" s="1"/>
  <c r="U3" i="11"/>
  <c r="V3" i="11" s="1"/>
  <c r="Y3" i="11" s="1"/>
  <c r="Z3" i="11" s="1"/>
  <c r="U18" i="11"/>
  <c r="V18" i="11" s="1"/>
  <c r="X18" i="11" s="1"/>
  <c r="Y37" i="11"/>
  <c r="Z37" i="11" s="1"/>
  <c r="W33" i="11"/>
  <c r="X33" i="11"/>
  <c r="X30" i="11"/>
  <c r="Y30" i="11"/>
  <c r="Z30" i="11" s="1"/>
  <c r="U38" i="11"/>
  <c r="V38" i="11" s="1"/>
  <c r="Y38" i="11" s="1"/>
  <c r="Z38" i="11" s="1"/>
  <c r="U25" i="11"/>
  <c r="V25" i="11" s="1"/>
  <c r="X25" i="11" s="1"/>
  <c r="U11" i="11"/>
  <c r="V11" i="11" s="1"/>
  <c r="W11" i="11" s="1"/>
  <c r="U17" i="11"/>
  <c r="V17" i="11" s="1"/>
  <c r="X17" i="11" s="1"/>
  <c r="U8" i="11"/>
  <c r="V8" i="11" s="1"/>
  <c r="Y8" i="11" s="1"/>
  <c r="Z8" i="11" s="1"/>
  <c r="U21" i="11"/>
  <c r="V21" i="11" s="1"/>
  <c r="Y21" i="11" s="1"/>
  <c r="Z21" i="11" s="1"/>
  <c r="U24" i="11"/>
  <c r="V24" i="11" s="1"/>
  <c r="W24" i="11" s="1"/>
  <c r="U19" i="11"/>
  <c r="V19" i="11" s="1"/>
  <c r="U36" i="11"/>
  <c r="V36" i="11" s="1"/>
  <c r="W36" i="11" s="1"/>
  <c r="U40" i="11"/>
  <c r="V40" i="11" s="1"/>
  <c r="Y40" i="11" s="1"/>
  <c r="Z40" i="11" s="1"/>
  <c r="U23" i="11"/>
  <c r="V23" i="11" s="1"/>
  <c r="X23" i="11" s="1"/>
  <c r="U12" i="11"/>
  <c r="V12" i="11" s="1"/>
  <c r="X12" i="11" s="1"/>
  <c r="U9" i="11"/>
  <c r="V9" i="11" s="1"/>
  <c r="X9" i="11" s="1"/>
  <c r="U39" i="11"/>
  <c r="V39" i="11" s="1"/>
  <c r="X39" i="11" s="1"/>
  <c r="U15" i="11"/>
  <c r="V15" i="11" s="1"/>
  <c r="X15" i="11" s="1"/>
  <c r="U42" i="11"/>
  <c r="V42" i="11" s="1"/>
  <c r="X42" i="11" s="1"/>
  <c r="U22" i="11"/>
  <c r="V22" i="11" s="1"/>
  <c r="U27" i="11"/>
  <c r="V27" i="11" s="1"/>
  <c r="X27" i="11" s="1"/>
  <c r="U7" i="11"/>
  <c r="V7" i="11" s="1"/>
  <c r="X7" i="11" s="1"/>
  <c r="U32" i="11"/>
  <c r="V32" i="11" s="1"/>
  <c r="X32" i="11" s="1"/>
  <c r="U35" i="11"/>
  <c r="V35" i="11" s="1"/>
  <c r="Y35" i="11" s="1"/>
  <c r="Z35" i="11" s="1"/>
  <c r="U26" i="11"/>
  <c r="V26" i="11" s="1"/>
  <c r="Y26" i="11" s="1"/>
  <c r="Z26" i="11" s="1"/>
  <c r="U34" i="11"/>
  <c r="V34" i="11" s="1"/>
  <c r="Y34" i="11" s="1"/>
  <c r="Z34" i="11" s="1"/>
  <c r="AA44" i="11"/>
  <c r="U16" i="11"/>
  <c r="V16" i="11" s="1"/>
  <c r="W16" i="11" s="1"/>
  <c r="U11" i="9"/>
  <c r="V11" i="9" s="1"/>
  <c r="X11" i="9" s="1"/>
  <c r="AB23" i="9"/>
  <c r="Y9" i="11"/>
  <c r="Z9" i="11" s="1"/>
  <c r="AB44" i="11"/>
  <c r="X8" i="11"/>
  <c r="U10" i="11"/>
  <c r="V10" i="11" s="1"/>
  <c r="X36" i="11"/>
  <c r="W42" i="11"/>
  <c r="Y42" i="11"/>
  <c r="Z42" i="11" s="1"/>
  <c r="X19" i="11"/>
  <c r="W19" i="11"/>
  <c r="W15" i="11"/>
  <c r="Y32" i="11"/>
  <c r="Z32" i="11" s="1"/>
  <c r="W35" i="11"/>
  <c r="X5" i="11"/>
  <c r="W5" i="11"/>
  <c r="Y5" i="11"/>
  <c r="Z5" i="11" s="1"/>
  <c r="U20" i="11"/>
  <c r="V20" i="11" s="1"/>
  <c r="Y19" i="11"/>
  <c r="Z19" i="11" s="1"/>
  <c r="Y15" i="11"/>
  <c r="Z15" i="11" s="1"/>
  <c r="Y18" i="11"/>
  <c r="Z18" i="11" s="1"/>
  <c r="U3" i="9"/>
  <c r="V3" i="9" s="1"/>
  <c r="W3" i="9" s="1"/>
  <c r="U16" i="9"/>
  <c r="V16" i="9" s="1"/>
  <c r="X16" i="9" s="1"/>
  <c r="U13" i="9"/>
  <c r="V13" i="9" s="1"/>
  <c r="Y13" i="9" s="1"/>
  <c r="Z13" i="9" s="1"/>
  <c r="U15" i="9"/>
  <c r="V15" i="9" s="1"/>
  <c r="W15" i="9" s="1"/>
  <c r="U9" i="9"/>
  <c r="V9" i="9" s="1"/>
  <c r="W9" i="9" s="1"/>
  <c r="U12" i="9"/>
  <c r="V12" i="9" s="1"/>
  <c r="Y12" i="9" s="1"/>
  <c r="Z12" i="9" s="1"/>
  <c r="U8" i="9"/>
  <c r="V8" i="9" s="1"/>
  <c r="Y8" i="9" s="1"/>
  <c r="Z8" i="9" s="1"/>
  <c r="U2" i="9"/>
  <c r="V2" i="9" s="1"/>
  <c r="W2" i="9" s="1"/>
  <c r="U19" i="9"/>
  <c r="V19" i="9" s="1"/>
  <c r="Y19" i="9" s="1"/>
  <c r="Z19" i="9" s="1"/>
  <c r="U21" i="9"/>
  <c r="V21" i="9" s="1"/>
  <c r="X21" i="9" s="1"/>
  <c r="U5" i="9"/>
  <c r="V5" i="9" s="1"/>
  <c r="X5" i="9" s="1"/>
  <c r="U18" i="9"/>
  <c r="V18" i="9" s="1"/>
  <c r="W18" i="9" s="1"/>
  <c r="U20" i="9"/>
  <c r="V20" i="9" s="1"/>
  <c r="W20" i="9" s="1"/>
  <c r="U10" i="9"/>
  <c r="V10" i="9" s="1"/>
  <c r="Y10" i="9" s="1"/>
  <c r="Z10" i="9" s="1"/>
  <c r="U14" i="9"/>
  <c r="V14" i="9" s="1"/>
  <c r="Y14" i="9" s="1"/>
  <c r="Z14" i="9" s="1"/>
  <c r="U7" i="9"/>
  <c r="V7" i="9" s="1"/>
  <c r="X7" i="9" s="1"/>
  <c r="U4" i="9"/>
  <c r="V4" i="9" s="1"/>
  <c r="W4" i="9" s="1"/>
  <c r="U17" i="9"/>
  <c r="W11" i="9"/>
  <c r="X3" i="9"/>
  <c r="Y3" i="9"/>
  <c r="Z3" i="9" s="1"/>
  <c r="AA23" i="9"/>
  <c r="U6" i="9"/>
  <c r="C2" i="7"/>
  <c r="C3" i="7"/>
  <c r="C4" i="7"/>
  <c r="C5" i="7"/>
  <c r="C6" i="7"/>
  <c r="C7" i="7"/>
  <c r="C8" i="7"/>
  <c r="C9" i="7"/>
  <c r="C10" i="7"/>
  <c r="C11" i="7"/>
  <c r="C12" i="7"/>
  <c r="C13" i="7"/>
  <c r="C14" i="7"/>
  <c r="C15" i="7"/>
  <c r="C16" i="7"/>
  <c r="C17" i="7"/>
  <c r="C1" i="7"/>
  <c r="Y29" i="11" l="1"/>
  <c r="Z29" i="11" s="1"/>
  <c r="X28" i="11"/>
  <c r="Y2" i="11"/>
  <c r="Z2" i="11" s="1"/>
  <c r="Y17" i="11"/>
  <c r="Z17" i="11" s="1"/>
  <c r="Y28" i="11"/>
  <c r="Z28" i="11" s="1"/>
  <c r="W12" i="11"/>
  <c r="W17" i="11"/>
  <c r="Y12" i="11"/>
  <c r="Z12" i="11" s="1"/>
  <c r="Y11" i="11"/>
  <c r="Z11" i="11" s="1"/>
  <c r="AA16" i="12"/>
  <c r="AB16" i="12"/>
  <c r="AF16" i="12" s="1"/>
  <c r="Z16" i="12"/>
  <c r="AA5" i="12"/>
  <c r="AB5" i="12"/>
  <c r="AF5" i="12" s="1"/>
  <c r="Z5" i="12"/>
  <c r="AA26" i="12"/>
  <c r="Z26" i="12"/>
  <c r="AB26" i="12"/>
  <c r="AF26" i="12" s="1"/>
  <c r="Z34" i="12"/>
  <c r="AB34" i="12"/>
  <c r="AF34" i="12" s="1"/>
  <c r="Z29" i="12"/>
  <c r="AB29" i="12"/>
  <c r="AF29" i="12" s="1"/>
  <c r="AB27" i="12"/>
  <c r="AF27" i="12" s="1"/>
  <c r="Z27" i="12"/>
  <c r="AA9" i="12"/>
  <c r="AB9" i="12"/>
  <c r="AF9" i="12" s="1"/>
  <c r="Z9" i="12"/>
  <c r="Z41" i="12"/>
  <c r="AB41" i="12"/>
  <c r="AF41" i="12" s="1"/>
  <c r="AB4" i="12"/>
  <c r="AF4" i="12" s="1"/>
  <c r="Z4" i="12"/>
  <c r="Z22" i="12"/>
  <c r="AB22" i="12"/>
  <c r="AF22" i="12" s="1"/>
  <c r="AA36" i="12"/>
  <c r="AB36" i="12"/>
  <c r="AF36" i="12" s="1"/>
  <c r="Z36" i="12"/>
  <c r="AA15" i="12"/>
  <c r="Z15" i="12"/>
  <c r="AB15" i="12"/>
  <c r="AF15" i="12" s="1"/>
  <c r="Z18" i="12"/>
  <c r="AB18" i="12"/>
  <c r="AF18" i="12" s="1"/>
  <c r="Z33" i="12"/>
  <c r="AB33" i="12"/>
  <c r="AF33" i="12" s="1"/>
  <c r="AB40" i="12"/>
  <c r="AF40" i="12" s="1"/>
  <c r="Z40" i="12"/>
  <c r="AA25" i="12"/>
  <c r="Z25" i="12"/>
  <c r="AB25" i="12"/>
  <c r="AF25" i="12" s="1"/>
  <c r="AA30" i="12"/>
  <c r="Z30" i="12"/>
  <c r="AB30" i="12"/>
  <c r="AF30" i="12" s="1"/>
  <c r="Z17" i="12"/>
  <c r="AB17" i="12"/>
  <c r="AF17" i="12" s="1"/>
  <c r="AB24" i="12"/>
  <c r="AF24" i="12" s="1"/>
  <c r="Z24" i="12"/>
  <c r="Z37" i="12"/>
  <c r="AB37" i="12"/>
  <c r="AF37" i="12" s="1"/>
  <c r="AA23" i="12"/>
  <c r="AB23" i="12"/>
  <c r="AF23" i="12" s="1"/>
  <c r="Z23" i="12"/>
  <c r="AB8" i="12"/>
  <c r="AF8" i="12" s="1"/>
  <c r="Z8" i="12"/>
  <c r="AB32" i="12"/>
  <c r="AF32" i="12" s="1"/>
  <c r="Z32" i="12"/>
  <c r="AA35" i="12"/>
  <c r="AB35" i="12"/>
  <c r="AF35" i="12" s="1"/>
  <c r="Z35" i="12"/>
  <c r="AB13" i="12"/>
  <c r="AF13" i="12" s="1"/>
  <c r="Z13" i="12"/>
  <c r="Z38" i="12"/>
  <c r="AB38" i="12"/>
  <c r="AF38" i="12" s="1"/>
  <c r="AB39" i="12"/>
  <c r="AF39" i="12" s="1"/>
  <c r="Z39" i="12"/>
  <c r="Z2" i="12"/>
  <c r="AB2" i="12"/>
  <c r="AF2" i="12" s="1"/>
  <c r="AA7" i="12"/>
  <c r="Z7" i="12"/>
  <c r="AB7" i="12"/>
  <c r="AF7" i="12" s="1"/>
  <c r="AA31" i="12"/>
  <c r="AB31" i="12"/>
  <c r="AF31" i="12" s="1"/>
  <c r="Z31" i="12"/>
  <c r="AA10" i="12"/>
  <c r="Z10" i="12"/>
  <c r="AB10" i="12"/>
  <c r="AF10" i="12" s="1"/>
  <c r="AA19" i="12"/>
  <c r="AB19" i="12"/>
  <c r="AF19" i="12" s="1"/>
  <c r="Z19" i="12"/>
  <c r="Z21" i="12"/>
  <c r="AB21" i="12"/>
  <c r="AF21" i="12" s="1"/>
  <c r="Z14" i="12"/>
  <c r="AB14" i="12"/>
  <c r="AF14" i="12" s="1"/>
  <c r="Z11" i="12"/>
  <c r="AB11" i="12"/>
  <c r="AF11" i="12" s="1"/>
  <c r="Z3" i="12"/>
  <c r="AB3" i="12"/>
  <c r="AF3" i="12" s="1"/>
  <c r="AB28" i="12"/>
  <c r="AF28" i="12" s="1"/>
  <c r="Z28" i="12"/>
  <c r="Z6" i="12"/>
  <c r="AB6" i="12"/>
  <c r="AF6" i="12" s="1"/>
  <c r="AA12" i="12"/>
  <c r="AB12" i="12"/>
  <c r="AF12" i="12" s="1"/>
  <c r="Z12" i="12"/>
  <c r="X14" i="11"/>
  <c r="X2" i="11"/>
  <c r="Y14" i="11"/>
  <c r="Z14" i="11" s="1"/>
  <c r="W3" i="11"/>
  <c r="X3" i="11"/>
  <c r="AA37" i="12"/>
  <c r="AA29" i="12"/>
  <c r="AA11" i="12"/>
  <c r="AA28" i="12"/>
  <c r="AA21" i="12"/>
  <c r="AA14" i="12"/>
  <c r="AA3" i="12"/>
  <c r="AC14" i="12"/>
  <c r="AA6" i="12"/>
  <c r="AA22" i="12"/>
  <c r="AA18" i="12"/>
  <c r="AA8" i="12"/>
  <c r="AA24" i="12"/>
  <c r="AA38" i="12"/>
  <c r="AA13" i="12"/>
  <c r="AA32" i="12"/>
  <c r="X12" i="9"/>
  <c r="AA39" i="12"/>
  <c r="AA40" i="12"/>
  <c r="AA2" i="12"/>
  <c r="AA27" i="12"/>
  <c r="AA4" i="12"/>
  <c r="AA41" i="12"/>
  <c r="X43" i="12"/>
  <c r="Y20" i="12"/>
  <c r="AA34" i="12"/>
  <c r="AA17" i="12"/>
  <c r="Y39" i="11"/>
  <c r="Z39" i="11" s="1"/>
  <c r="W26" i="11"/>
  <c r="Y27" i="11"/>
  <c r="Z27" i="11" s="1"/>
  <c r="W37" i="11"/>
  <c r="X26" i="11"/>
  <c r="W25" i="11"/>
  <c r="Y25" i="11"/>
  <c r="Z25" i="11" s="1"/>
  <c r="W29" i="11"/>
  <c r="Y11" i="9"/>
  <c r="Z11" i="9" s="1"/>
  <c r="Y15" i="9"/>
  <c r="Z15" i="9" s="1"/>
  <c r="Y13" i="11"/>
  <c r="Z13" i="11" s="1"/>
  <c r="W13" i="11"/>
  <c r="X24" i="11"/>
  <c r="X34" i="11"/>
  <c r="X11" i="11"/>
  <c r="Y7" i="11"/>
  <c r="Z7" i="11" s="1"/>
  <c r="W38" i="11"/>
  <c r="Y36" i="11"/>
  <c r="Z36" i="11" s="1"/>
  <c r="Y16" i="11"/>
  <c r="Z16" i="11" s="1"/>
  <c r="W18" i="11"/>
  <c r="X16" i="11"/>
  <c r="X38" i="11"/>
  <c r="X35" i="11"/>
  <c r="W8" i="11"/>
  <c r="W39" i="11"/>
  <c r="Y24" i="11"/>
  <c r="Z24" i="11" s="1"/>
  <c r="W34" i="11"/>
  <c r="Y23" i="11"/>
  <c r="Z23" i="11" s="1"/>
  <c r="W21" i="11"/>
  <c r="W23" i="11"/>
  <c r="W27" i="11"/>
  <c r="W7" i="11"/>
  <c r="X21" i="11"/>
  <c r="W40" i="11"/>
  <c r="W9" i="11"/>
  <c r="W32" i="11"/>
  <c r="X40" i="11"/>
  <c r="X15" i="9"/>
  <c r="W12" i="9"/>
  <c r="W14" i="9"/>
  <c r="X14" i="9"/>
  <c r="X18" i="9"/>
  <c r="W22" i="11"/>
  <c r="V44" i="11"/>
  <c r="Y22" i="11"/>
  <c r="X22" i="11"/>
  <c r="Y20" i="11"/>
  <c r="Z20" i="11" s="1"/>
  <c r="X20" i="11"/>
  <c r="W20" i="11"/>
  <c r="U44" i="11"/>
  <c r="Y10" i="11"/>
  <c r="Z10" i="11" s="1"/>
  <c r="X10" i="11"/>
  <c r="W10" i="11"/>
  <c r="X20" i="9"/>
  <c r="Y5" i="9"/>
  <c r="Z5" i="9" s="1"/>
  <c r="U23" i="9"/>
  <c r="W8" i="9"/>
  <c r="Y20" i="9"/>
  <c r="Z20" i="9" s="1"/>
  <c r="W5" i="9"/>
  <c r="X8" i="9"/>
  <c r="X13" i="9"/>
  <c r="V17" i="9"/>
  <c r="X17" i="9" s="1"/>
  <c r="W16" i="9"/>
  <c r="Y16" i="9"/>
  <c r="Z16" i="9" s="1"/>
  <c r="W13" i="9"/>
  <c r="Y9" i="9"/>
  <c r="Z9" i="9" s="1"/>
  <c r="X10" i="9"/>
  <c r="Y7" i="9"/>
  <c r="Z7" i="9" s="1"/>
  <c r="W10" i="9"/>
  <c r="Y2" i="9"/>
  <c r="Z2" i="9" s="1"/>
  <c r="X19" i="9"/>
  <c r="X9" i="9"/>
  <c r="W19" i="9"/>
  <c r="Y21" i="9"/>
  <c r="Z21" i="9" s="1"/>
  <c r="Y4" i="9"/>
  <c r="Z4" i="9" s="1"/>
  <c r="W7" i="9"/>
  <c r="X2" i="9"/>
  <c r="Y18" i="9"/>
  <c r="Z18" i="9" s="1"/>
  <c r="W21" i="9"/>
  <c r="X4" i="9"/>
  <c r="V6" i="9"/>
  <c r="W6" i="9" s="1"/>
  <c r="AC29" i="12" l="1"/>
  <c r="AC5" i="12"/>
  <c r="AC9" i="12"/>
  <c r="AC26" i="12"/>
  <c r="AC27" i="12"/>
  <c r="AC19" i="12"/>
  <c r="AC7" i="12"/>
  <c r="AC24" i="12"/>
  <c r="AC18" i="12"/>
  <c r="AC22" i="12"/>
  <c r="AC12" i="12"/>
  <c r="AC11" i="12"/>
  <c r="AC21" i="12"/>
  <c r="AC8" i="12"/>
  <c r="AC37" i="12"/>
  <c r="AC25" i="12"/>
  <c r="AC40" i="12"/>
  <c r="AC34" i="12"/>
  <c r="AC17" i="12"/>
  <c r="AC28" i="12"/>
  <c r="AC10" i="12"/>
  <c r="AC31" i="12"/>
  <c r="AC39" i="12"/>
  <c r="AC13" i="12"/>
  <c r="AC30" i="12"/>
  <c r="AC33" i="12"/>
  <c r="AC15" i="12"/>
  <c r="AC36" i="12"/>
  <c r="AC16" i="12"/>
  <c r="AC35" i="12"/>
  <c r="AC41" i="12"/>
  <c r="AC6" i="12"/>
  <c r="AC3" i="12"/>
  <c r="AC38" i="12"/>
  <c r="AC32" i="12"/>
  <c r="AC23" i="12"/>
  <c r="AC4" i="12"/>
  <c r="AC2" i="12"/>
  <c r="AB20" i="12"/>
  <c r="Z20" i="12"/>
  <c r="Z43" i="12" s="1"/>
  <c r="Y43" i="12"/>
  <c r="AA20" i="12"/>
  <c r="AA43" i="12" s="1"/>
  <c r="X44" i="11"/>
  <c r="Z22" i="11"/>
  <c r="Z44" i="11" s="1"/>
  <c r="Y44" i="11"/>
  <c r="W44" i="11"/>
  <c r="W17" i="9"/>
  <c r="W23" i="9" s="1"/>
  <c r="Y17" i="9"/>
  <c r="Z17" i="9" s="1"/>
  <c r="V23" i="9"/>
  <c r="Y6" i="9"/>
  <c r="X6" i="9"/>
  <c r="X23" i="9" s="1"/>
  <c r="AB43" i="12" l="1"/>
  <c r="AF20" i="12"/>
  <c r="AF43" i="12" s="1"/>
  <c r="AC20" i="12"/>
  <c r="AC43" i="12" s="1"/>
  <c r="Y23" i="9"/>
  <c r="Z6" i="9"/>
  <c r="Z23"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B077F8-4C5E-48F4-A4BF-2BAB59AF838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12B8C3E-9AFE-4E61-BAAF-394CD389C2B2}" name="WorksheetConnection_pastoril_tyronekent_SP201B01_capstone.xlsx!Table2427245" type="102" refreshedVersion="6" minRefreshableVersion="5">
    <extLst>
      <ext xmlns:x15="http://schemas.microsoft.com/office/spreadsheetml/2010/11/main" uri="{DE250136-89BD-433C-8126-D09CA5730AF9}">
        <x15:connection id="Table2427245" autoDelete="1">
          <x15:rangePr sourceName="_xlcn.WorksheetConnection_pastoril_tyronekent_SP201B01_capstone.xlsxTable24272451"/>
        </x15:connection>
      </ext>
    </extLst>
  </connection>
</connections>
</file>

<file path=xl/sharedStrings.xml><?xml version="1.0" encoding="utf-8"?>
<sst xmlns="http://schemas.openxmlformats.org/spreadsheetml/2006/main" count="1067" uniqueCount="149">
  <si>
    <t>Gender</t>
  </si>
  <si>
    <t>First Name</t>
  </si>
  <si>
    <t>Last Name</t>
  </si>
  <si>
    <t>Location of Residence</t>
  </si>
  <si>
    <t># of Transportation going to Work</t>
  </si>
  <si>
    <t>Mode of Transportation</t>
  </si>
  <si>
    <t>Travel Duration (1-way)</t>
  </si>
  <si>
    <t>Workplace/School Location</t>
  </si>
  <si>
    <t>Travel cost (1-way)</t>
  </si>
  <si>
    <t>Employment Status</t>
  </si>
  <si>
    <t>Length of Stay</t>
  </si>
  <si>
    <t>Residence Type</t>
  </si>
  <si>
    <t>Length of  Stay in Company/School</t>
  </si>
  <si>
    <t>Is this your first job?</t>
  </si>
  <si>
    <t>If no, what made you quit your previous job?</t>
  </si>
  <si>
    <t>Waiting time for your ride</t>
  </si>
  <si>
    <t>Age Bracket</t>
  </si>
  <si>
    <t>Marital Status</t>
  </si>
  <si>
    <t xml:space="preserve">Travel cost </t>
  </si>
  <si>
    <t>Travel cost</t>
  </si>
  <si>
    <t>Time of Departure (from Home)</t>
  </si>
  <si>
    <t>Time of Departure (from Work)</t>
  </si>
  <si>
    <t>Time of Arrival (at Home)</t>
  </si>
  <si>
    <t>Start of Work (time)</t>
  </si>
  <si>
    <t>End of Work (time)</t>
  </si>
  <si>
    <t>Single</t>
  </si>
  <si>
    <t>Married</t>
  </si>
  <si>
    <t>Probationary</t>
  </si>
  <si>
    <t>Fixed Term/Contractual</t>
  </si>
  <si>
    <t>Regular Employee</t>
  </si>
  <si>
    <t xml:space="preserve">Caloocan, </t>
  </si>
  <si>
    <t xml:space="preserve">Malabon, </t>
  </si>
  <si>
    <t xml:space="preserve">Navotas, </t>
  </si>
  <si>
    <t xml:space="preserve">Valenzuela, </t>
  </si>
  <si>
    <t xml:space="preserve">Quezon City, </t>
  </si>
  <si>
    <t xml:space="preserve">Marikina, </t>
  </si>
  <si>
    <t xml:space="preserve">Pasig, </t>
  </si>
  <si>
    <t xml:space="preserve">Taguig, </t>
  </si>
  <si>
    <t xml:space="preserve">Makati, </t>
  </si>
  <si>
    <t xml:space="preserve">Manila, </t>
  </si>
  <si>
    <t xml:space="preserve">Mandaluyong, </t>
  </si>
  <si>
    <t xml:space="preserve">San Juan, </t>
  </si>
  <si>
    <t xml:space="preserve">Pasay, </t>
  </si>
  <si>
    <t xml:space="preserve">Parañaque, </t>
  </si>
  <si>
    <t xml:space="preserve">Las Piñas, </t>
  </si>
  <si>
    <t xml:space="preserve">Muntinlupa, </t>
  </si>
  <si>
    <t xml:space="preserve">Pateros, </t>
  </si>
  <si>
    <t>Workplace Location</t>
  </si>
  <si>
    <t>Time of Arrival (at Work)</t>
  </si>
  <si>
    <t>21-25</t>
  </si>
  <si>
    <t>Male</t>
  </si>
  <si>
    <t>Caloocan</t>
  </si>
  <si>
    <t>Makati</t>
  </si>
  <si>
    <t>Female</t>
  </si>
  <si>
    <t>Taguig</t>
  </si>
  <si>
    <t>Others</t>
  </si>
  <si>
    <t>General Trias, Cavite</t>
  </si>
  <si>
    <t>General Trias Cavite</t>
  </si>
  <si>
    <t>Cavite</t>
  </si>
  <si>
    <t>Manila</t>
  </si>
  <si>
    <t>Mandaluyong</t>
  </si>
  <si>
    <t>Muntinlupa</t>
  </si>
  <si>
    <t>Quezon City</t>
  </si>
  <si>
    <t>Pasig</t>
  </si>
  <si>
    <t>26-30</t>
  </si>
  <si>
    <t>Pasay</t>
  </si>
  <si>
    <t>Rizal</t>
  </si>
  <si>
    <t>Laguna</t>
  </si>
  <si>
    <t>Cabuyao, Laguna</t>
  </si>
  <si>
    <t>31-35</t>
  </si>
  <si>
    <t>Marikina</t>
  </si>
  <si>
    <t>Cainta, Rizal</t>
  </si>
  <si>
    <t>Las Piñas</t>
  </si>
  <si>
    <t>Parañaque</t>
  </si>
  <si>
    <t>If others,</t>
  </si>
  <si>
    <t>If others,2</t>
  </si>
  <si>
    <t>Prefer Not to Say</t>
  </si>
  <si>
    <t>User</t>
  </si>
  <si>
    <t>charleslamchek1@gmail.com</t>
  </si>
  <si>
    <t>mary.espiritu25@yahoo.com</t>
  </si>
  <si>
    <t>patrickallencruz03@gmail.com</t>
  </si>
  <si>
    <t>kimsison17@gmail.com</t>
  </si>
  <si>
    <t>cyrus.lim97@gmail.com</t>
  </si>
  <si>
    <t>jelletanglao@gmail.com</t>
  </si>
  <si>
    <t>aaronsdelacruz@gmail.com</t>
  </si>
  <si>
    <t>johnnilolandicho@gmail.com</t>
  </si>
  <si>
    <t>mylacabanada09@gmail.com</t>
  </si>
  <si>
    <t>reyjamesnava@gmail.com</t>
  </si>
  <si>
    <t>distoarcailae@gmail.com</t>
  </si>
  <si>
    <t>salegela@gmail.com</t>
  </si>
  <si>
    <t>candianicolajan@gmail.com</t>
  </si>
  <si>
    <t>carvencent.ninofranco@gmail.com</t>
  </si>
  <si>
    <t>jocolim528@gmail.com</t>
  </si>
  <si>
    <t>gryphxd@gmail.com</t>
  </si>
  <si>
    <t>cybrskypr@gmail.com</t>
  </si>
  <si>
    <t>nisacaymo@gmail.com</t>
  </si>
  <si>
    <t>jhuvell.zulueta@gmail.com</t>
  </si>
  <si>
    <t>lbbarcelon@gmail.com</t>
  </si>
  <si>
    <t>trufy.09@ymail.com</t>
  </si>
  <si>
    <t>alymxlm@gmail.com</t>
  </si>
  <si>
    <t>reylumagui0329@gmail.com</t>
  </si>
  <si>
    <t>kimvillamil@ymail.com</t>
  </si>
  <si>
    <t>abi.buatis@gmail.com</t>
  </si>
  <si>
    <t>auisantos09@gmail.com</t>
  </si>
  <si>
    <t>learizza.paat@gmail.com</t>
  </si>
  <si>
    <t>matthewsagun@yahoo.com</t>
  </si>
  <si>
    <t>guatato.nicole@gmail.com</t>
  </si>
  <si>
    <t>talentedvayne@gmail.com</t>
  </si>
  <si>
    <t>inmenzoija@gmail.com</t>
  </si>
  <si>
    <t>maromagtagnob@gmail.com</t>
  </si>
  <si>
    <t>nickoc2s1@gmail.com</t>
  </si>
  <si>
    <t>lyndon.a.uy@gmail.com</t>
  </si>
  <si>
    <t>jerome.reontoy@gmail.com</t>
  </si>
  <si>
    <t>eccaliwan@gmail.com</t>
  </si>
  <si>
    <t>alen.astillero11@gmail.com</t>
  </si>
  <si>
    <t>enzonicolasnorthpine@gmail.com</t>
  </si>
  <si>
    <t>mjacobespineli@gmail.com</t>
  </si>
  <si>
    <t>mackyramendesu@gmail.com</t>
  </si>
  <si>
    <t>Malabon</t>
  </si>
  <si>
    <t>Navotas</t>
  </si>
  <si>
    <t>Pateros</t>
  </si>
  <si>
    <t>San Juan</t>
  </si>
  <si>
    <t>Valenzuela</t>
  </si>
  <si>
    <t>Work</t>
  </si>
  <si>
    <t>Travel Time</t>
  </si>
  <si>
    <t>Travel Time2</t>
  </si>
  <si>
    <t>Total Travel Time</t>
  </si>
  <si>
    <t>Total Cost</t>
  </si>
  <si>
    <t>Total travel time (hr) in a year (261 days)</t>
  </si>
  <si>
    <t>Total travel time in hr</t>
  </si>
  <si>
    <t>In days</t>
  </si>
  <si>
    <t>Total Cost in a year (261 days)</t>
  </si>
  <si>
    <t>% of commute / day</t>
  </si>
  <si>
    <t>Age Bracket2</t>
  </si>
  <si>
    <t>% of commute / work + commute</t>
  </si>
  <si>
    <t>Average</t>
  </si>
  <si>
    <t>Total Work Hours</t>
  </si>
  <si>
    <t>Travel Time from Home to Work</t>
  </si>
  <si>
    <t>Travel Time from Work to Home</t>
  </si>
  <si>
    <t>Travel Time from Home to Work in Decimals</t>
  </si>
  <si>
    <t>Travel Time from Work to Home in Decimal</t>
  </si>
  <si>
    <t>Total Cost in a month (22 days)</t>
  </si>
  <si>
    <t>Total travel time (hr) in a month (22 days)</t>
  </si>
  <si>
    <t>The rest of the day</t>
  </si>
  <si>
    <t>Total Work Hours in Decimals</t>
  </si>
  <si>
    <t>% of commute / (work + commute)</t>
  </si>
  <si>
    <t>Hypothesis: An employee spends atleast 10% or 2.4hrs everyday travelling to work</t>
  </si>
  <si>
    <t>Observation: In a sample of 40, 11% or 2.64hrs is spent on travelling everyday, 40% working and 49% for the rest of the day.</t>
  </si>
  <si>
    <t>Due to traffic in the metro, a large amount of time is spent travelling, a time where you could have spent with your family.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</si>
</sst>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h:mm;@"/>
    <numFmt numFmtId="166" formatCode="[$-409]h:mm\ AM/PM;@"/>
    <numFmt numFmtId="167" formatCode="[$PHP]\ #,##0.00"/>
  </numFmts>
  <fonts count="5" x14ac:knownFonts="1">
    <font>
      <sz val="11"/>
      <color theme="1"/>
      <name val="Calibri"/>
      <family val="2"/>
      <scheme val="minor"/>
    </font>
    <font>
      <sz val="11"/>
      <color rgb="FF414141"/>
      <name val="Calibri"/>
      <family val="2"/>
      <scheme val="minor"/>
    </font>
    <font>
      <sz val="8"/>
      <name val="Calibri"/>
      <family val="2"/>
      <scheme val="minor"/>
    </font>
    <font>
      <sz val="11"/>
      <color rgb="FF1E1E1E"/>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style="thin">
        <color theme="6"/>
      </top>
      <bottom/>
      <diagonal/>
    </border>
    <border>
      <left/>
      <right/>
      <top style="thin">
        <color theme="6"/>
      </top>
      <bottom style="thin">
        <color theme="6"/>
      </bottom>
      <diagonal/>
    </border>
  </borders>
  <cellStyleXfs count="1">
    <xf numFmtId="0" fontId="0" fillId="0" borderId="0"/>
  </cellStyleXfs>
  <cellXfs count="83">
    <xf numFmtId="0" fontId="0" fillId="0" borderId="0" xfId="0"/>
    <xf numFmtId="0" fontId="1" fillId="0" borderId="0" xfId="0" applyFont="1" applyAlignment="1">
      <alignment horizontal="center" vertical="top" wrapText="1"/>
    </xf>
    <xf numFmtId="0" fontId="0" fillId="0" borderId="0" xfId="0" applyFont="1" applyAlignment="1">
      <alignment horizontal="center" vertical="top" wrapText="1"/>
    </xf>
    <xf numFmtId="14" fontId="0" fillId="0" borderId="0" xfId="0" applyNumberFormat="1" applyFont="1" applyAlignment="1">
      <alignment horizontal="center" vertical="top" wrapText="1"/>
    </xf>
    <xf numFmtId="20" fontId="0" fillId="0" borderId="0" xfId="0" applyNumberFormat="1"/>
    <xf numFmtId="164" fontId="0" fillId="0" borderId="0" xfId="0" applyNumberFormat="1" applyFont="1" applyAlignment="1">
      <alignment horizontal="center" vertical="top" wrapText="1"/>
    </xf>
    <xf numFmtId="164" fontId="0" fillId="0" borderId="0" xfId="0" applyNumberFormat="1"/>
    <xf numFmtId="0" fontId="0" fillId="0" borderId="0" xfId="0" applyAlignment="1">
      <alignment horizontal="center" vertical="top" wrapText="1"/>
    </xf>
    <xf numFmtId="165" fontId="0" fillId="0" borderId="0" xfId="0" applyNumberFormat="1" applyFont="1" applyAlignment="1">
      <alignment horizontal="center" vertical="top" wrapText="1"/>
    </xf>
    <xf numFmtId="165" fontId="3" fillId="0" borderId="0" xfId="0" applyNumberFormat="1" applyFont="1"/>
    <xf numFmtId="165" fontId="0" fillId="0" borderId="0" xfId="0" applyNumberFormat="1"/>
    <xf numFmtId="2" fontId="0" fillId="0" borderId="0" xfId="0" applyNumberFormat="1" applyFont="1" applyAlignment="1">
      <alignment horizontal="center" vertical="top" wrapText="1"/>
    </xf>
    <xf numFmtId="10" fontId="0" fillId="0" borderId="0" xfId="0" applyNumberFormat="1" applyFont="1" applyAlignment="1">
      <alignment horizontal="center" vertical="top" wrapText="1"/>
    </xf>
    <xf numFmtId="0" fontId="0" fillId="0" borderId="0" xfId="0" applyAlignment="1"/>
    <xf numFmtId="166" fontId="0" fillId="0" borderId="0" xfId="0" applyNumberFormat="1" applyAlignment="1"/>
    <xf numFmtId="165" fontId="0" fillId="0" borderId="0" xfId="0" applyNumberFormat="1" applyAlignment="1"/>
    <xf numFmtId="2" fontId="0" fillId="0" borderId="0" xfId="0" applyNumberFormat="1" applyAlignment="1"/>
    <xf numFmtId="10" fontId="0" fillId="0" borderId="0" xfId="0" applyNumberFormat="1" applyAlignment="1"/>
    <xf numFmtId="10" fontId="0" fillId="0" borderId="0" xfId="0" applyNumberFormat="1" applyAlignment="1">
      <alignment horizontal="center" vertical="top"/>
    </xf>
    <xf numFmtId="2" fontId="0" fillId="0" borderId="0" xfId="0" applyNumberFormat="1" applyAlignment="1">
      <alignment horizontal="center" vertical="top"/>
    </xf>
    <xf numFmtId="0" fontId="0" fillId="0" borderId="0" xfId="0" applyAlignment="1">
      <alignment horizontal="center" vertical="top"/>
    </xf>
    <xf numFmtId="166" fontId="0" fillId="0" borderId="0" xfId="0" applyNumberFormat="1" applyFont="1" applyAlignment="1">
      <alignment horizontal="center" vertical="top"/>
    </xf>
    <xf numFmtId="0" fontId="0" fillId="0" borderId="0" xfId="0" applyNumberFormat="1" applyAlignment="1">
      <alignment horizontal="center" vertical="top"/>
    </xf>
    <xf numFmtId="164" fontId="0" fillId="2" borderId="0" xfId="0" applyNumberFormat="1" applyFill="1" applyAlignment="1"/>
    <xf numFmtId="2" fontId="0" fillId="2" borderId="0" xfId="0" applyNumberFormat="1" applyFill="1" applyAlignment="1"/>
    <xf numFmtId="10" fontId="0" fillId="2" borderId="0" xfId="0" applyNumberFormat="1" applyFill="1" applyAlignment="1"/>
    <xf numFmtId="0" fontId="0" fillId="2" borderId="0" xfId="0" applyNumberFormat="1" applyFill="1" applyAlignment="1"/>
    <xf numFmtId="0" fontId="0" fillId="0" borderId="0" xfId="0" applyAlignment="1">
      <alignment horizontal="left"/>
    </xf>
    <xf numFmtId="165" fontId="3" fillId="0" borderId="0" xfId="0" applyNumberFormat="1" applyFont="1" applyFill="1" applyAlignment="1"/>
    <xf numFmtId="165" fontId="0" fillId="0" borderId="0" xfId="0" applyNumberFormat="1" applyFill="1" applyAlignment="1"/>
    <xf numFmtId="165" fontId="0" fillId="0" borderId="0" xfId="0" applyNumberFormat="1" applyFont="1" applyFill="1" applyAlignment="1"/>
    <xf numFmtId="0" fontId="0" fillId="0" borderId="0" xfId="0" applyFill="1"/>
    <xf numFmtId="166" fontId="0" fillId="0" borderId="0" xfId="0" applyNumberFormat="1" applyFont="1" applyFill="1" applyAlignment="1">
      <alignment horizontal="center" vertical="top"/>
    </xf>
    <xf numFmtId="166" fontId="0" fillId="0" borderId="0" xfId="0" applyNumberFormat="1" applyFill="1" applyAlignment="1"/>
    <xf numFmtId="2" fontId="0" fillId="0" borderId="0" xfId="0" applyNumberFormat="1" applyFill="1" applyAlignment="1"/>
    <xf numFmtId="10" fontId="0" fillId="0" borderId="0" xfId="0" applyNumberFormat="1" applyFill="1" applyAlignment="1"/>
    <xf numFmtId="2" fontId="0" fillId="0" borderId="0" xfId="0" applyNumberFormat="1" applyFill="1" applyAlignment="1">
      <alignment horizontal="center" vertical="top"/>
    </xf>
    <xf numFmtId="0" fontId="0" fillId="0" borderId="0" xfId="0" applyFill="1" applyAlignment="1">
      <alignment horizontal="center" vertical="top"/>
    </xf>
    <xf numFmtId="0" fontId="0" fillId="0" borderId="0" xfId="0" applyNumberFormat="1" applyFill="1" applyAlignment="1">
      <alignment horizontal="center" vertical="top"/>
    </xf>
    <xf numFmtId="0" fontId="0" fillId="0" borderId="0" xfId="0" applyFill="1" applyAlignment="1"/>
    <xf numFmtId="165" fontId="3" fillId="0" borderId="0" xfId="0" applyNumberFormat="1" applyFont="1" applyAlignment="1">
      <alignment horizontal="right"/>
    </xf>
    <xf numFmtId="165" fontId="0" fillId="0" borderId="0" xfId="0" applyNumberFormat="1" applyAlignment="1">
      <alignment horizontal="right"/>
    </xf>
    <xf numFmtId="165" fontId="0" fillId="0" borderId="0" xfId="0" applyNumberFormat="1" applyFill="1" applyAlignment="1">
      <alignment horizontal="right"/>
    </xf>
    <xf numFmtId="0" fontId="0" fillId="0" borderId="0" xfId="0" applyAlignment="1">
      <alignment horizontal="right"/>
    </xf>
    <xf numFmtId="166" fontId="0" fillId="0" borderId="0" xfId="0" applyNumberFormat="1" applyAlignment="1">
      <alignment horizontal="right"/>
    </xf>
    <xf numFmtId="166" fontId="0" fillId="0" borderId="0" xfId="0" applyNumberFormat="1" applyFont="1" applyAlignment="1">
      <alignment horizontal="right" vertical="top"/>
    </xf>
    <xf numFmtId="166" fontId="0" fillId="0" borderId="0" xfId="0" applyNumberFormat="1" applyFill="1" applyAlignment="1">
      <alignment horizontal="right"/>
    </xf>
    <xf numFmtId="167" fontId="0" fillId="0" borderId="0" xfId="0" applyNumberFormat="1" applyAlignment="1">
      <alignment horizontal="center" vertical="top"/>
    </xf>
    <xf numFmtId="167" fontId="0" fillId="0" borderId="0" xfId="0" applyNumberFormat="1" applyFill="1" applyAlignment="1">
      <alignment horizontal="center" vertical="top"/>
    </xf>
    <xf numFmtId="167" fontId="0" fillId="2" borderId="0" xfId="0" applyNumberFormat="1" applyFill="1" applyAlignment="1"/>
    <xf numFmtId="0" fontId="0" fillId="0" borderId="1" xfId="0" applyFont="1" applyBorder="1"/>
    <xf numFmtId="166" fontId="0" fillId="0" borderId="0" xfId="0" applyNumberFormat="1" applyAlignment="1">
      <alignment horizontal="center" vertical="top" wrapText="1"/>
    </xf>
    <xf numFmtId="166" fontId="0" fillId="0" borderId="0" xfId="0" applyNumberFormat="1" applyAlignment="1">
      <alignment wrapText="1"/>
    </xf>
    <xf numFmtId="165" fontId="0" fillId="0" borderId="0" xfId="0" applyNumberFormat="1" applyAlignment="1">
      <alignment wrapText="1"/>
    </xf>
    <xf numFmtId="0" fontId="0" fillId="0" borderId="0" xfId="0" applyAlignment="1">
      <alignment wrapText="1"/>
    </xf>
    <xf numFmtId="166" fontId="0" fillId="0" borderId="0" xfId="0" applyNumberFormat="1" applyAlignment="1">
      <alignment horizontal="right" wrapText="1"/>
    </xf>
    <xf numFmtId="0" fontId="0" fillId="0" borderId="0" xfId="0" applyAlignment="1">
      <alignment horizontal="right" wrapText="1"/>
    </xf>
    <xf numFmtId="0" fontId="0" fillId="0" borderId="2" xfId="0" applyFont="1" applyBorder="1"/>
    <xf numFmtId="165" fontId="0" fillId="0" borderId="1" xfId="0" applyNumberFormat="1" applyFont="1" applyBorder="1" applyAlignment="1"/>
    <xf numFmtId="166" fontId="0" fillId="0" borderId="1" xfId="0" applyNumberFormat="1" applyFont="1" applyBorder="1" applyAlignment="1">
      <alignment horizontal="center" vertical="top"/>
    </xf>
    <xf numFmtId="166" fontId="0" fillId="0" borderId="1" xfId="0" applyNumberFormat="1" applyFont="1" applyBorder="1" applyAlignment="1">
      <alignment horizontal="right"/>
    </xf>
    <xf numFmtId="165" fontId="0" fillId="0" borderId="1" xfId="0" applyNumberFormat="1" applyFont="1" applyBorder="1" applyAlignment="1">
      <alignment horizontal="right"/>
    </xf>
    <xf numFmtId="165" fontId="3" fillId="0" borderId="1" xfId="0" applyNumberFormat="1" applyFont="1" applyBorder="1" applyAlignment="1"/>
    <xf numFmtId="166" fontId="0" fillId="0" borderId="1" xfId="0" applyNumberFormat="1" applyFont="1" applyBorder="1" applyAlignment="1">
      <alignment horizontal="right" vertical="top"/>
    </xf>
    <xf numFmtId="165" fontId="3" fillId="0" borderId="2" xfId="0" applyNumberFormat="1" applyFont="1" applyBorder="1" applyAlignment="1"/>
    <xf numFmtId="166" fontId="0" fillId="0" borderId="2" xfId="0" applyNumberFormat="1" applyFont="1" applyBorder="1" applyAlignment="1"/>
    <xf numFmtId="166" fontId="0" fillId="0" borderId="2" xfId="0" applyNumberFormat="1" applyFont="1" applyBorder="1" applyAlignment="1">
      <alignment horizontal="right"/>
    </xf>
    <xf numFmtId="166" fontId="0" fillId="0" borderId="1" xfId="0" applyNumberFormat="1" applyFont="1" applyBorder="1" applyAlignment="1"/>
    <xf numFmtId="0" fontId="0" fillId="0" borderId="1" xfId="0" applyFont="1" applyBorder="1" applyAlignment="1"/>
    <xf numFmtId="165" fontId="3" fillId="0" borderId="1" xfId="0" applyNumberFormat="1" applyFont="1" applyBorder="1" applyAlignment="1">
      <alignment horizontal="right"/>
    </xf>
    <xf numFmtId="166" fontId="0" fillId="0" borderId="2" xfId="0" applyNumberFormat="1" applyFont="1" applyBorder="1" applyAlignment="1">
      <alignment horizontal="center" vertical="top"/>
    </xf>
    <xf numFmtId="165" fontId="0" fillId="0" borderId="2" xfId="0" applyNumberFormat="1" applyFont="1" applyBorder="1" applyAlignment="1"/>
    <xf numFmtId="165" fontId="0" fillId="0" borderId="2" xfId="0" applyNumberFormat="1" applyFont="1" applyBorder="1" applyAlignment="1">
      <alignment horizontal="right"/>
    </xf>
    <xf numFmtId="164" fontId="4" fillId="0" borderId="1" xfId="0" applyNumberFormat="1" applyFont="1" applyFill="1" applyBorder="1" applyAlignment="1">
      <alignment horizontal="center" vertical="top" wrapText="1"/>
    </xf>
    <xf numFmtId="0" fontId="4" fillId="0" borderId="1" xfId="0" applyFont="1" applyFill="1" applyBorder="1" applyAlignment="1">
      <alignment horizontal="center" vertical="top" wrapText="1"/>
    </xf>
    <xf numFmtId="0" fontId="4" fillId="0" borderId="0" xfId="0" applyFont="1" applyFill="1" applyAlignment="1">
      <alignment horizontal="center" vertical="top" wrapText="1"/>
    </xf>
    <xf numFmtId="164" fontId="4" fillId="0" borderId="0" xfId="0" applyNumberFormat="1" applyFont="1" applyFill="1" applyAlignment="1">
      <alignment horizontal="center" vertical="top" wrapText="1"/>
    </xf>
    <xf numFmtId="165" fontId="4" fillId="0" borderId="0" xfId="0" applyNumberFormat="1" applyFont="1" applyFill="1" applyAlignment="1">
      <alignment horizontal="center" vertical="top" wrapText="1"/>
    </xf>
    <xf numFmtId="2" fontId="3" fillId="0" borderId="0" xfId="0" applyNumberFormat="1" applyFont="1" applyFill="1" applyAlignment="1"/>
    <xf numFmtId="2" fontId="0" fillId="0" borderId="0" xfId="0" applyNumberFormat="1" applyAlignment="1">
      <alignment horizontal="right"/>
    </xf>
    <xf numFmtId="2" fontId="3" fillId="0" borderId="0" xfId="0" applyNumberFormat="1" applyFont="1" applyAlignment="1">
      <alignment horizontal="right"/>
    </xf>
    <xf numFmtId="2" fontId="0" fillId="0" borderId="0" xfId="0" applyNumberFormat="1" applyFill="1" applyAlignment="1">
      <alignment horizontal="right"/>
    </xf>
    <xf numFmtId="167" fontId="0" fillId="0" borderId="0" xfId="0" applyNumberFormat="1" applyFill="1" applyAlignment="1"/>
  </cellXfs>
  <cellStyles count="1">
    <cellStyle name="Normal" xfId="0" builtinId="0"/>
  </cellStyles>
  <dxfs count="200">
    <dxf>
      <font>
        <color rgb="FF9C0006"/>
      </font>
      <fill>
        <patternFill>
          <bgColor rgb="FFFFC7CE"/>
        </patternFill>
      </fill>
    </dxf>
    <dxf>
      <font>
        <color rgb="FF006100"/>
      </font>
      <fill>
        <patternFill>
          <bgColor rgb="FFC6EFCE"/>
        </patternFill>
      </fill>
    </dxf>
    <dxf>
      <font>
        <color rgb="FF006100"/>
      </font>
      <fill>
        <patternFill patternType="none">
          <bgColor auto="1"/>
        </patternFill>
      </fill>
    </dxf>
    <dxf>
      <font>
        <color rgb="FF9C0006"/>
      </font>
    </dxf>
    <dxf>
      <font>
        <color rgb="FF9C0006"/>
      </font>
      <fill>
        <patternFill patternType="none">
          <bgColor auto="1"/>
        </patternFill>
      </fill>
    </dxf>
    <dxf>
      <font>
        <color rgb="FF006100"/>
      </font>
      <fill>
        <patternFill patternType="none">
          <bgColor auto="1"/>
        </patternFill>
      </fill>
    </dxf>
    <dxf>
      <font>
        <color rgb="FFC00000"/>
      </font>
      <fill>
        <patternFill patternType="none">
          <bgColor auto="1"/>
        </patternFill>
      </fill>
    </dxf>
    <dxf>
      <font>
        <color theme="8" tint="-0.499984740745262"/>
      </font>
      <fill>
        <patternFill patternType="none">
          <bgColor auto="1"/>
        </patternFill>
      </fill>
    </dxf>
    <dxf>
      <font>
        <color theme="8" tint="-0.499984740745262"/>
      </font>
      <fill>
        <patternFill>
          <bgColor theme="8" tint="0.79998168889431442"/>
        </patternFill>
      </fill>
    </dxf>
    <dxf>
      <font>
        <color theme="8" tint="-0.499984740745262"/>
      </font>
      <fill>
        <patternFill>
          <bgColor theme="8" tint="0.79998168889431442"/>
        </patternFill>
      </fill>
    </dxf>
    <dxf>
      <numFmt numFmtId="2" formatCode="0.00"/>
      <alignment horizontal="center" vertical="top" textRotation="0" wrapText="0" indent="0" justifyLastLine="0" shrinkToFit="0" readingOrder="0"/>
    </dxf>
    <dxf>
      <numFmt numFmtId="167" formatCode="[$PHP]\ #,##0.00"/>
      <alignment horizontal="center" vertical="top" textRotation="0" wrapText="0" indent="0" justifyLastLine="0" shrinkToFit="0" readingOrder="0"/>
    </dxf>
    <dxf>
      <numFmt numFmtId="167" formatCode="[$PHP]\ #,##0.00"/>
      <alignment horizontal="center" vertical="top" textRotation="0" wrapText="0" indent="0" justifyLastLine="0" shrinkToFit="0" readingOrder="0"/>
    </dxf>
    <dxf>
      <numFmt numFmtId="2" formatCode="0.00"/>
      <alignment horizontal="center" vertical="top" textRotation="0" wrapText="0" indent="0" justifyLastLine="0" shrinkToFit="0" readingOrder="0"/>
    </dxf>
    <dxf>
      <numFmt numFmtId="2" formatCode="0.00"/>
      <alignment horizontal="center" vertical="top" textRotation="0" wrapText="0" indent="0" justifyLastLine="0" shrinkToFit="0" readingOrder="0"/>
    </dxf>
    <dxf>
      <numFmt numFmtId="14" formatCode="0.00%"/>
      <alignment horizontal="center" vertical="top" textRotation="0" wrapText="0" indent="0" justifyLastLine="0" shrinkToFit="0" readingOrder="0"/>
    </dxf>
    <dxf>
      <numFmt numFmtId="14" formatCode="0.00%"/>
      <alignment textRotation="0" wrapText="0" indent="0" justifyLastLine="0" shrinkToFit="0" readingOrder="0"/>
    </dxf>
    <dxf>
      <numFmt numFmtId="2" formatCode="0.00"/>
      <alignment textRotation="0" wrapText="0" indent="0" justifyLastLine="0" shrinkToFit="0" readingOrder="0"/>
    </dxf>
    <dxf>
      <numFmt numFmtId="165" formatCode="h:mm;@"/>
      <alignment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25" formatCode="hh:mm"/>
      <fill>
        <patternFill patternType="solid">
          <fgColor indexed="64"/>
          <bgColor rgb="FFFFFF00"/>
        </patternFill>
      </fill>
      <alignment horizontal="center" vertical="top" textRotation="0" wrapText="0" indent="0" justifyLastLine="0" shrinkToFit="0" readingOrder="0"/>
    </dxf>
    <dxf>
      <font>
        <b val="0"/>
        <i val="0"/>
        <strike val="0"/>
        <condense val="0"/>
        <extend val="0"/>
        <outline val="0"/>
        <shadow val="0"/>
        <u val="none"/>
        <vertAlign val="baseline"/>
        <sz val="11"/>
        <color rgb="FF1E1E1E"/>
        <name val="Calibri"/>
        <family val="2"/>
        <scheme val="minor"/>
      </font>
      <numFmt numFmtId="165" formatCode="h:mm;@"/>
      <fill>
        <patternFill patternType="none">
          <fgColor indexed="64"/>
          <bgColor indexed="65"/>
        </patternFill>
      </fill>
      <alignment horizontal="general" vertical="bottom" textRotation="0" wrapText="0" indent="0" justifyLastLine="0" shrinkToFit="0" readingOrder="0"/>
    </dxf>
    <dxf>
      <font>
        <b/>
      </font>
      <numFmt numFmtId="165" formatCode="h:mm;@"/>
      <fill>
        <patternFill patternType="solid">
          <fgColor indexed="64"/>
          <bgColor rgb="FFFFFF00"/>
        </patternFill>
      </fill>
      <alignment textRotation="0" wrapText="0" indent="0" justifyLastLine="0" shrinkToFit="0" readingOrder="0"/>
    </dxf>
    <dxf>
      <numFmt numFmtId="2" formatCode="0.00"/>
      <alignment horizontal="right" vertical="bottom" textRotation="0" wrapText="0" indent="0" justifyLastLine="0" shrinkToFit="0" readingOrder="0"/>
    </dxf>
    <dxf>
      <numFmt numFmtId="165" formatCode="h:mm;@"/>
      <alignment horizontal="right" textRotation="0" wrapText="0" indent="0" justifyLastLine="0" shrinkToFit="0" readingOrder="0"/>
    </dxf>
    <dxf>
      <numFmt numFmtId="166" formatCode="[$-409]h:mm\ AM/PM;@"/>
      <alignment horizontal="right" textRotation="0" wrapText="0" indent="0" justifyLastLine="0" shrinkToFit="0" readingOrder="0"/>
    </dxf>
    <dxf>
      <numFmt numFmtId="166" formatCode="[$-409]h:mm\ AM/PM;@"/>
      <alignment horizontal="right"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409]h:mm\ AM/PM;@"/>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5" formatCode="hh:mm"/>
      <fill>
        <patternFill patternType="solid">
          <fgColor indexed="64"/>
          <bgColor rgb="FFFFFF00"/>
        </patternFill>
      </fill>
      <alignment horizontal="center" vertical="top"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165" formatCode="h:mm;@"/>
      <fill>
        <patternFill patternType="none">
          <fgColor indexed="64"/>
          <bgColor auto="1"/>
        </patternFill>
      </fill>
      <alignment textRotation="0" wrapText="0" indent="0" justifyLastLine="0" shrinkToFit="0" readingOrder="0"/>
    </dxf>
    <dxf>
      <numFmt numFmtId="166" formatCode="[$-409]h:mm\ AM/PM;@"/>
      <alignment textRotation="0" wrapText="0" indent="0" justifyLastLine="0" shrinkToFit="0" readingOrder="0"/>
    </dxf>
    <dxf>
      <numFmt numFmtId="166" formatCode="[$-409]h:mm\ AM/PM;@"/>
      <alignment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409]h:mm\ AM/PM;@"/>
      <alignment horizontal="center" vertical="top" textRotation="0" wrapText="0" indent="0" justifyLastLine="0" shrinkToFit="0" readingOrder="0"/>
    </dxf>
    <dxf>
      <numFmt numFmtId="25" formatCode="hh:mm"/>
      <alignment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5" formatCode="hh:mm"/>
      <alignment horizontal="center" vertical="top" textRotation="0" wrapText="0" indent="0" justifyLastLine="0" shrinkToFit="0" readingOrder="0"/>
    </dxf>
    <dxf>
      <alignment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alignment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alignment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patternType="none">
          <bgColor auto="1"/>
        </patternFill>
      </fill>
    </dxf>
    <dxf>
      <font>
        <color rgb="FF9C0006"/>
      </font>
    </dxf>
    <dxf>
      <font>
        <color rgb="FF9C0006"/>
      </font>
      <fill>
        <patternFill patternType="none">
          <bgColor auto="1"/>
        </patternFill>
      </fill>
    </dxf>
    <dxf>
      <font>
        <color rgb="FF006100"/>
      </font>
      <fill>
        <patternFill patternType="none">
          <bgColor auto="1"/>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8" tint="-0.499984740745262"/>
      </font>
      <fill>
        <patternFill>
          <bgColor theme="8" tint="0.79998168889431442"/>
        </patternFill>
      </fill>
    </dxf>
    <dxf>
      <font>
        <color theme="8" tint="-0.499984740745262"/>
      </font>
      <fill>
        <patternFill>
          <bgColor theme="8" tint="0.79998168889431442"/>
        </patternFill>
      </fill>
    </dxf>
    <dxf>
      <font>
        <color rgb="FFC00000"/>
      </font>
      <fill>
        <patternFill patternType="none">
          <bgColor auto="1"/>
        </patternFill>
      </fill>
    </dxf>
    <dxf>
      <font>
        <color theme="8" tint="-0.499984740745262"/>
      </font>
      <fill>
        <patternFill patternType="none">
          <bgColor auto="1"/>
        </patternFill>
      </fill>
    </dxf>
    <dxf>
      <numFmt numFmtId="167" formatCode="[$PHP]\ #,##0.00"/>
      <alignment horizontal="center" vertical="top" textRotation="0" wrapText="0" indent="0" justifyLastLine="0" shrinkToFit="0" readingOrder="0"/>
    </dxf>
    <dxf>
      <numFmt numFmtId="167" formatCode="[$PHP]\ #,##0.00"/>
      <alignment horizontal="center" vertical="top" textRotation="0" wrapText="0" indent="0" justifyLastLine="0" shrinkToFit="0" readingOrder="0"/>
    </dxf>
    <dxf>
      <numFmt numFmtId="2" formatCode="0.00"/>
      <alignment horizontal="center" vertical="top" textRotation="0" wrapText="0" indent="0" justifyLastLine="0" shrinkToFit="0" readingOrder="0"/>
    </dxf>
    <dxf>
      <numFmt numFmtId="2" formatCode="0.00"/>
      <alignment horizontal="center" vertical="top" textRotation="0" wrapText="0" indent="0" justifyLastLine="0" shrinkToFit="0" readingOrder="0"/>
    </dxf>
    <dxf>
      <numFmt numFmtId="14" formatCode="0.00%"/>
      <alignment horizontal="center" vertical="top" textRotation="0" wrapText="0" indent="0" justifyLastLine="0" shrinkToFit="0" readingOrder="0"/>
    </dxf>
    <dxf>
      <numFmt numFmtId="14" formatCode="0.00%"/>
      <alignment textRotation="0" wrapText="0" indent="0" justifyLastLine="0" shrinkToFit="0" readingOrder="0"/>
    </dxf>
    <dxf>
      <numFmt numFmtId="2" formatCode="0.00"/>
      <alignment textRotation="0" wrapText="0" indent="0" justifyLastLine="0" shrinkToFit="0" readingOrder="0"/>
    </dxf>
    <dxf>
      <numFmt numFmtId="165" formatCode="h:mm;@"/>
      <alignment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25" formatCode="hh:mm"/>
      <fill>
        <patternFill patternType="solid">
          <fgColor indexed="64"/>
          <bgColor rgb="FFFFFF00"/>
        </patternFill>
      </fill>
      <alignment horizontal="center" vertical="top" textRotation="0" wrapText="0" indent="0" justifyLastLine="0" shrinkToFit="0" readingOrder="0"/>
    </dxf>
    <dxf>
      <font>
        <b/>
      </font>
      <numFmt numFmtId="165" formatCode="h:mm;@"/>
      <fill>
        <patternFill patternType="solid">
          <fgColor indexed="64"/>
          <bgColor rgb="FFFFFF00"/>
        </patternFill>
      </fill>
      <alignment textRotation="0" wrapText="0" indent="0" justifyLastLine="0" shrinkToFit="0" readingOrder="0"/>
    </dxf>
    <dxf>
      <numFmt numFmtId="165" formatCode="h:mm;@"/>
      <alignment horizontal="right" textRotation="0" wrapText="0" indent="0" justifyLastLine="0" shrinkToFit="0" readingOrder="0"/>
    </dxf>
    <dxf>
      <numFmt numFmtId="166" formatCode="[$-409]h:mm\ AM/PM;@"/>
      <alignment horizontal="right" textRotation="0" wrapText="0" indent="0" justifyLastLine="0" shrinkToFit="0" readingOrder="0"/>
    </dxf>
    <dxf>
      <numFmt numFmtId="166" formatCode="[$-409]h:mm\ AM/PM;@"/>
      <alignment horizontal="right"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409]h:mm\ AM/PM;@"/>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5" formatCode="hh:mm"/>
      <fill>
        <patternFill patternType="solid">
          <fgColor indexed="64"/>
          <bgColor rgb="FFFFFF00"/>
        </patternFill>
      </fill>
      <alignment horizontal="center" vertical="top" textRotation="0" wrapText="0" indent="0" justifyLastLine="0" shrinkToFit="0" readingOrder="0"/>
    </dxf>
    <dxf>
      <numFmt numFmtId="165" formatCode="h:mm;@"/>
      <fill>
        <patternFill patternType="none">
          <fgColor indexed="64"/>
          <bgColor auto="1"/>
        </patternFill>
      </fill>
      <alignment textRotation="0" wrapText="0" indent="0" justifyLastLine="0" shrinkToFit="0" readingOrder="0"/>
    </dxf>
    <dxf>
      <numFmt numFmtId="166" formatCode="[$-409]h:mm\ AM/PM;@"/>
      <alignment textRotation="0" wrapText="0" indent="0" justifyLastLine="0" shrinkToFit="0" readingOrder="0"/>
    </dxf>
    <dxf>
      <numFmt numFmtId="166" formatCode="[$-409]h:mm\ AM/PM;@"/>
      <alignment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409]h:mm\ AM/PM;@"/>
      <alignment horizontal="center" vertical="top" textRotation="0" wrapText="0" indent="0" justifyLastLine="0" shrinkToFit="0" readingOrder="0"/>
    </dxf>
    <dxf>
      <numFmt numFmtId="25" formatCode="hh:mm"/>
      <alignment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5" formatCode="hh:mm"/>
      <alignment horizontal="center" vertical="top" textRotation="0" wrapText="0" indent="0" justifyLastLine="0" shrinkToFit="0" readingOrder="0"/>
    </dxf>
    <dxf>
      <alignment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alignment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alignment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006100"/>
      </font>
      <fill>
        <patternFill patternType="none">
          <bgColor auto="1"/>
        </patternFill>
      </fill>
    </dxf>
    <dxf>
      <font>
        <color rgb="FF9C0006"/>
      </font>
    </dxf>
    <dxf>
      <font>
        <color rgb="FF9C0006"/>
      </font>
      <fill>
        <patternFill patternType="none">
          <bgColor auto="1"/>
        </patternFill>
      </fill>
    </dxf>
    <dxf>
      <font>
        <color rgb="FF006100"/>
      </font>
      <fill>
        <patternFill patternType="none">
          <bgColor auto="1"/>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theme="8" tint="-0.499984740745262"/>
      </font>
      <fill>
        <patternFill>
          <bgColor theme="8" tint="0.79998168889431442"/>
        </patternFill>
      </fill>
    </dxf>
    <dxf>
      <font>
        <color theme="8" tint="-0.499984740745262"/>
      </font>
      <fill>
        <patternFill>
          <bgColor theme="8" tint="0.79998168889431442"/>
        </patternFill>
      </fill>
    </dxf>
    <dxf>
      <font>
        <color rgb="FFC00000"/>
      </font>
      <fill>
        <patternFill patternType="none">
          <bgColor auto="1"/>
        </patternFill>
      </fill>
    </dxf>
    <dxf>
      <font>
        <color theme="8" tint="-0.499984740745262"/>
      </font>
      <fill>
        <patternFill patternType="none">
          <bgColor auto="1"/>
        </patternFill>
      </fill>
    </dxf>
    <dxf>
      <numFmt numFmtId="0" formatCode="General"/>
      <alignment horizontal="center" vertical="top" textRotation="0" wrapText="0" indent="0" justifyLastLine="0" shrinkToFit="0" readingOrder="0"/>
    </dxf>
    <dxf>
      <alignment horizontal="center" vertical="top" textRotation="0" wrapText="0" indent="0" justifyLastLine="0" shrinkToFit="0" readingOrder="0"/>
    </dxf>
    <dxf>
      <numFmt numFmtId="2" formatCode="0.00"/>
      <alignment horizontal="center" vertical="top" textRotation="0" wrapText="0" indent="0" justifyLastLine="0" shrinkToFit="0" readingOrder="0"/>
    </dxf>
    <dxf>
      <numFmt numFmtId="2" formatCode="0.00"/>
      <alignment horizontal="center" vertical="top" textRotation="0" wrapText="0" indent="0" justifyLastLine="0" shrinkToFit="0" readingOrder="0"/>
    </dxf>
    <dxf>
      <numFmt numFmtId="14" formatCode="0.00%"/>
      <alignment horizontal="center" vertical="top" textRotation="0" wrapText="0" indent="0" justifyLastLine="0" shrinkToFit="0" readingOrder="0"/>
    </dxf>
    <dxf>
      <numFmt numFmtId="14" formatCode="0.00%"/>
      <alignment textRotation="0" wrapText="0" indent="0" justifyLastLine="0" shrinkToFit="0" readingOrder="0"/>
    </dxf>
    <dxf>
      <numFmt numFmtId="2" formatCode="0.00"/>
      <alignment textRotation="0" wrapText="0" indent="0" justifyLastLine="0" shrinkToFit="0" readingOrder="0"/>
    </dxf>
    <dxf>
      <numFmt numFmtId="165" formatCode="h:mm;@"/>
      <alignment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25" formatCode="hh:mm"/>
      <fill>
        <patternFill patternType="solid">
          <fgColor indexed="64"/>
          <bgColor rgb="FFFFFF00"/>
        </patternFill>
      </fill>
      <alignment horizontal="center" vertical="top" textRotation="0" wrapText="0" indent="0" justifyLastLine="0" shrinkToFit="0" readingOrder="0"/>
    </dxf>
    <dxf>
      <font>
        <b/>
      </font>
      <numFmt numFmtId="165" formatCode="h:mm;@"/>
      <fill>
        <patternFill patternType="solid">
          <fgColor indexed="64"/>
          <bgColor rgb="FFFFFF00"/>
        </patternFill>
      </fill>
      <alignment textRotation="0" wrapText="0" indent="0" justifyLastLine="0" shrinkToFit="0" readingOrder="0"/>
    </dxf>
    <dxf>
      <numFmt numFmtId="165" formatCode="h:mm;@"/>
      <alignment horizontal="right" textRotation="0" wrapText="0" indent="0" justifyLastLine="0" shrinkToFit="0" readingOrder="0"/>
    </dxf>
    <dxf>
      <numFmt numFmtId="166" formatCode="[$-409]h:mm\ AM/PM;@"/>
      <alignment horizontal="right" textRotation="0" wrapText="0" indent="0" justifyLastLine="0" shrinkToFit="0" readingOrder="0"/>
    </dxf>
    <dxf>
      <numFmt numFmtId="166" formatCode="[$-409]h:mm\ AM/PM;@"/>
      <alignment horizontal="right"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409]h:mm\ AM/PM;@"/>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5" formatCode="hh:mm"/>
      <fill>
        <patternFill patternType="solid">
          <fgColor indexed="64"/>
          <bgColor rgb="FFFFFF00"/>
        </patternFill>
      </fill>
      <alignment horizontal="center" vertical="top" textRotation="0" wrapText="0" indent="0" justifyLastLine="0" shrinkToFit="0" readingOrder="0"/>
    </dxf>
    <dxf>
      <numFmt numFmtId="165" formatCode="h:mm;@"/>
      <fill>
        <patternFill patternType="none">
          <fgColor indexed="64"/>
          <bgColor auto="1"/>
        </patternFill>
      </fill>
      <alignment textRotation="0" wrapText="0" indent="0" justifyLastLine="0" shrinkToFit="0" readingOrder="0"/>
    </dxf>
    <dxf>
      <numFmt numFmtId="166" formatCode="[$-409]h:mm\ AM/PM;@"/>
      <alignment textRotation="0" wrapText="0" indent="0" justifyLastLine="0" shrinkToFit="0" readingOrder="0"/>
    </dxf>
    <dxf>
      <numFmt numFmtId="166" formatCode="[$-409]h:mm\ AM/PM;@"/>
      <alignment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409]h:mm\ AM/PM;@"/>
      <alignment horizontal="center" vertical="top" textRotation="0" wrapText="0" indent="0" justifyLastLine="0" shrinkToFit="0" readingOrder="0"/>
    </dxf>
    <dxf>
      <numFmt numFmtId="25" formatCode="hh:mm"/>
      <alignment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5" formatCode="hh:mm"/>
      <alignment horizontal="center" vertical="top" textRotation="0" wrapText="0" indent="0" justifyLastLine="0" shrinkToFit="0" readingOrder="0"/>
    </dxf>
    <dxf>
      <alignment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alignment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alignment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006100"/>
      </font>
      <fill>
        <patternFill patternType="none">
          <bgColor auto="1"/>
        </patternFill>
      </fill>
    </dxf>
    <dxf>
      <font>
        <color rgb="FF9C0006"/>
      </font>
    </dxf>
    <dxf>
      <font>
        <color rgb="FF9C0006"/>
      </font>
      <fill>
        <patternFill patternType="none">
          <bgColor auto="1"/>
        </patternFill>
      </fill>
    </dxf>
    <dxf>
      <font>
        <color rgb="FF006100"/>
      </font>
      <fill>
        <patternFill patternType="none">
          <bgColor auto="1"/>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C00000"/>
      </font>
      <fill>
        <patternFill patternType="none">
          <bgColor auto="1"/>
        </patternFill>
      </fill>
    </dxf>
    <dxf>
      <font>
        <color theme="8" tint="-0.499984740745262"/>
      </font>
      <fill>
        <patternFill patternType="none">
          <bgColor auto="1"/>
        </patternFill>
      </fill>
    </dxf>
    <dxf>
      <font>
        <color theme="8" tint="-0.499984740745262"/>
      </font>
      <fill>
        <patternFill>
          <bgColor theme="8" tint="0.79998168889431442"/>
        </patternFill>
      </fill>
    </dxf>
    <dxf>
      <font>
        <color theme="8" tint="-0.499984740745262"/>
      </font>
      <fill>
        <patternFill>
          <bgColor theme="8" tint="0.79998168889431442"/>
        </patternFill>
      </fill>
    </dxf>
    <dxf>
      <font>
        <color theme="8" tint="-0.499984740745262"/>
      </font>
      <fill>
        <patternFill>
          <bgColor theme="8" tint="0.79998168889431442"/>
        </patternFill>
      </fill>
    </dxf>
    <dxf>
      <font>
        <color theme="8" tint="-0.499984740745262"/>
      </font>
      <fill>
        <patternFill>
          <bgColor theme="8" tint="0.79998168889431442"/>
        </patternFill>
      </fill>
    </dxf>
    <dxf>
      <font>
        <color theme="8" tint="-0.499984740745262"/>
      </font>
      <fill>
        <patternFill>
          <bgColor theme="8" tint="0.79998168889431442"/>
        </patternFill>
      </fill>
    </dxf>
    <dxf>
      <font>
        <color theme="8" tint="-0.499984740745262"/>
      </font>
      <fill>
        <patternFill>
          <bgColor theme="8" tint="0.79998168889431442"/>
        </patternFill>
      </fill>
    </dxf>
    <dxf>
      <font>
        <b val="0"/>
        <i val="0"/>
        <strike val="0"/>
        <condense val="0"/>
        <extend val="0"/>
        <outline val="0"/>
        <shadow val="0"/>
        <u val="none"/>
        <vertAlign val="baseline"/>
        <sz val="11"/>
        <color rgb="FF000000"/>
        <name val="Calibri"/>
        <family val="2"/>
        <scheme val="none"/>
      </font>
      <numFmt numFmtId="25" formatCode="hh:mm"/>
      <fill>
        <patternFill patternType="solid">
          <fgColor indexed="64"/>
          <bgColor rgb="FFFFFF00"/>
        </patternFill>
      </fill>
      <alignment horizontal="center" vertical="top" textRotation="0" wrapText="1" indent="0" justifyLastLine="0" shrinkToFit="0" readingOrder="0"/>
    </dxf>
    <dxf>
      <font>
        <b/>
      </font>
      <numFmt numFmtId="165" formatCode="h:mm;@"/>
      <fill>
        <patternFill patternType="solid">
          <fgColor indexed="64"/>
          <bgColor rgb="FFFFFF00"/>
        </patternFill>
      </fill>
    </dxf>
    <dxf>
      <numFmt numFmtId="165" formatCode="h:mm;@"/>
    </dxf>
    <dxf>
      <numFmt numFmtId="164" formatCode="[$-F400]h:mm:ss\ AM/PM"/>
    </dxf>
    <dxf>
      <numFmt numFmtId="164" formatCode="[$-F400]h:mm:ss\ AM/PM"/>
    </dxf>
    <dxf>
      <font>
        <b val="0"/>
        <i val="0"/>
        <strike val="0"/>
        <condense val="0"/>
        <extend val="0"/>
        <outline val="0"/>
        <shadow val="0"/>
        <u val="none"/>
        <vertAlign val="baseline"/>
        <sz val="11"/>
        <color theme="1"/>
        <name val="Calibri"/>
        <family val="2"/>
        <scheme val="minor"/>
      </font>
      <numFmt numFmtId="164" formatCode="[$-F400]h:mm:ss\ AM/PM"/>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25" formatCode="hh:mm"/>
      <fill>
        <patternFill patternType="solid">
          <fgColor indexed="64"/>
          <bgColor rgb="FFFFFF00"/>
        </patternFill>
      </fill>
      <alignment horizontal="center" vertical="top" textRotation="0" wrapText="1" indent="0" justifyLastLine="0" shrinkToFit="0" readingOrder="0"/>
    </dxf>
    <dxf>
      <numFmt numFmtId="165" formatCode="h:mm;@"/>
      <fill>
        <patternFill patternType="solid">
          <fgColor indexed="64"/>
          <bgColor rgb="FFFFFF00"/>
        </patternFill>
      </fill>
    </dxf>
    <dxf>
      <numFmt numFmtId="164" formatCode="[$-F400]h:mm:ss\ AM/PM"/>
    </dxf>
    <dxf>
      <numFmt numFmtId="164" formatCode="[$-F400]h:mm:ss\ AM/PM"/>
    </dxf>
    <dxf>
      <font>
        <b val="0"/>
        <i val="0"/>
        <strike val="0"/>
        <condense val="0"/>
        <extend val="0"/>
        <outline val="0"/>
        <shadow val="0"/>
        <u val="none"/>
        <vertAlign val="baseline"/>
        <sz val="11"/>
        <color theme="1"/>
        <name val="Calibri"/>
        <family val="2"/>
        <scheme val="minor"/>
      </font>
      <numFmt numFmtId="164" formatCode="[$-F400]h:mm:ss\ AM/PM"/>
      <alignment horizontal="center" vertical="top" textRotation="0" wrapText="1" indent="0" justifyLastLine="0" shrinkToFit="0" readingOrder="0"/>
    </dxf>
    <dxf>
      <numFmt numFmtId="25" formatCode="hh:mm"/>
    </dxf>
    <dxf>
      <font>
        <b val="0"/>
        <i val="0"/>
        <strike val="0"/>
        <condense val="0"/>
        <extend val="0"/>
        <outline val="0"/>
        <shadow val="0"/>
        <u val="none"/>
        <vertAlign val="baseline"/>
        <sz val="11"/>
        <color theme="1"/>
        <name val="Calibri"/>
        <family val="2"/>
        <scheme val="minor"/>
      </font>
      <numFmt numFmtId="25" formatCode="hh:mm"/>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rgb="FF41414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rgb="FF41414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Percentage of Time that an Employee Spends Everyday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v>Percentage of Time Spent Travelling to Work Everyday</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5FC-47A8-B6DE-455BE2A9346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5FC-47A8-B6DE-455BE2A9346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E4C-4448-9576-175AE0A1C522}"/>
              </c:ext>
            </c:extLst>
          </c:dPt>
          <c:dLbls>
            <c:numFmt formatCode="General"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3"/>
              <c:pt idx="0">
                <c:v>Average Time Working</c:v>
              </c:pt>
              <c:pt idx="1">
                <c:v>Average Time Travelling</c:v>
              </c:pt>
              <c:pt idx="2">
                <c:v>The rest of the day</c:v>
              </c:pt>
            </c:strLit>
          </c:cat>
          <c:val>
            <c:numRef>
              <c:f>('Week - 5'!$T$43,'Week - 5'!$Y$43,'Week - 5'!$AF$43)</c:f>
              <c:numCache>
                <c:formatCode>0.00</c:formatCode>
                <c:ptCount val="3"/>
                <c:pt idx="0">
                  <c:v>9.5062499999999996</c:v>
                </c:pt>
                <c:pt idx="1">
                  <c:v>2.6391666666666667</c:v>
                </c:pt>
                <c:pt idx="2">
                  <c:v>11.854583333333334</c:v>
                </c:pt>
              </c:numCache>
            </c:numRef>
          </c:val>
          <c:extLst>
            <c:ext xmlns:c16="http://schemas.microsoft.com/office/drawing/2014/chart" uri="{C3380CC4-5D6E-409C-BE32-E72D297353CC}">
              <c16:uniqueId val="{00000004-BE4C-4448-9576-175AE0A1C52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You'll Arrive at Your Destination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'Week - 5'!$M$1</c:f>
              <c:strCache>
                <c:ptCount val="1"/>
                <c:pt idx="0">
                  <c:v>Travel Time from Home to Work</c:v>
                </c:pt>
              </c:strCache>
            </c:strRef>
          </c:tx>
          <c:spPr>
            <a:ln w="25400" cap="rnd">
              <a:noFill/>
              <a:round/>
            </a:ln>
            <a:effectLst/>
          </c:spPr>
          <c:marker>
            <c:symbol val="circle"/>
            <c:size val="5"/>
            <c:spPr>
              <a:solidFill>
                <a:schemeClr val="accent1"/>
              </a:solidFill>
              <a:ln w="9525">
                <a:solidFill>
                  <a:schemeClr val="accent1"/>
                </a:solidFill>
              </a:ln>
              <a:effectLst/>
            </c:spPr>
          </c:marker>
          <c:xVal>
            <c:numRef>
              <c:f>'Week - 5'!$A$2:$A$41</c:f>
            </c:numRef>
          </c:xVal>
          <c:yVal>
            <c:numRef>
              <c:f>'Week - 5'!$N$2:$N$41</c:f>
              <c:numCache>
                <c:formatCode>0.00</c:formatCode>
                <c:ptCount val="40"/>
                <c:pt idx="0">
                  <c:v>0.25000000000000044</c:v>
                </c:pt>
                <c:pt idx="1">
                  <c:v>0.25000000000000044</c:v>
                </c:pt>
                <c:pt idx="2">
                  <c:v>0.50000000000000089</c:v>
                </c:pt>
                <c:pt idx="3">
                  <c:v>0.50000000000000089</c:v>
                </c:pt>
                <c:pt idx="4">
                  <c:v>0.58333333333333393</c:v>
                </c:pt>
                <c:pt idx="5">
                  <c:v>0.33333333333333348</c:v>
                </c:pt>
                <c:pt idx="6">
                  <c:v>0.99999999999999911</c:v>
                </c:pt>
                <c:pt idx="7">
                  <c:v>0.75</c:v>
                </c:pt>
                <c:pt idx="8">
                  <c:v>1.0000000000000018</c:v>
                </c:pt>
                <c:pt idx="9">
                  <c:v>0.49999999999999956</c:v>
                </c:pt>
                <c:pt idx="10">
                  <c:v>0.99999999999999911</c:v>
                </c:pt>
                <c:pt idx="11">
                  <c:v>0.75</c:v>
                </c:pt>
                <c:pt idx="12">
                  <c:v>0.75</c:v>
                </c:pt>
                <c:pt idx="13">
                  <c:v>0.25000000000000044</c:v>
                </c:pt>
                <c:pt idx="14">
                  <c:v>0.50000000000000089</c:v>
                </c:pt>
                <c:pt idx="15">
                  <c:v>0.83333333333333304</c:v>
                </c:pt>
                <c:pt idx="16">
                  <c:v>0.50000000000000089</c:v>
                </c:pt>
                <c:pt idx="17">
                  <c:v>1.7499999999999991</c:v>
                </c:pt>
                <c:pt idx="18">
                  <c:v>0.99999999999999911</c:v>
                </c:pt>
                <c:pt idx="19">
                  <c:v>1.2500000000000009</c:v>
                </c:pt>
                <c:pt idx="20">
                  <c:v>1.9999999999999982</c:v>
                </c:pt>
                <c:pt idx="21">
                  <c:v>0.49999999999999956</c:v>
                </c:pt>
                <c:pt idx="22">
                  <c:v>2.0000000000000009</c:v>
                </c:pt>
                <c:pt idx="23">
                  <c:v>1.5</c:v>
                </c:pt>
                <c:pt idx="24">
                  <c:v>1.2499999999999996</c:v>
                </c:pt>
                <c:pt idx="25">
                  <c:v>0.99999999999999911</c:v>
                </c:pt>
                <c:pt idx="26">
                  <c:v>1.9999999999999982</c:v>
                </c:pt>
                <c:pt idx="27">
                  <c:v>1.5</c:v>
                </c:pt>
                <c:pt idx="28">
                  <c:v>1.5</c:v>
                </c:pt>
                <c:pt idx="29">
                  <c:v>1.2499999999999996</c:v>
                </c:pt>
                <c:pt idx="30">
                  <c:v>2.5000000000000004</c:v>
                </c:pt>
                <c:pt idx="31">
                  <c:v>2.4999999999999991</c:v>
                </c:pt>
                <c:pt idx="32">
                  <c:v>1.5000000000000007</c:v>
                </c:pt>
                <c:pt idx="33">
                  <c:v>1.9999999999999996</c:v>
                </c:pt>
                <c:pt idx="34">
                  <c:v>1.9999999999999996</c:v>
                </c:pt>
                <c:pt idx="35">
                  <c:v>1.9999999999999996</c:v>
                </c:pt>
                <c:pt idx="36">
                  <c:v>1.4999999999999993</c:v>
                </c:pt>
                <c:pt idx="37">
                  <c:v>2.5</c:v>
                </c:pt>
                <c:pt idx="38">
                  <c:v>2.75</c:v>
                </c:pt>
                <c:pt idx="39">
                  <c:v>2.5</c:v>
                </c:pt>
              </c:numCache>
            </c:numRef>
          </c:yVal>
          <c:smooth val="0"/>
          <c:extLst>
            <c:ext xmlns:c16="http://schemas.microsoft.com/office/drawing/2014/chart" uri="{C3380CC4-5D6E-409C-BE32-E72D297353CC}">
              <c16:uniqueId val="{00000004-F3C6-4641-9E74-14DA27F16294}"/>
            </c:ext>
          </c:extLst>
        </c:ser>
        <c:ser>
          <c:idx val="1"/>
          <c:order val="1"/>
          <c:tx>
            <c:strRef>
              <c:f>'Week - 5'!$U$1</c:f>
              <c:strCache>
                <c:ptCount val="1"/>
                <c:pt idx="0">
                  <c:v>Travel Time from Work to Home</c:v>
                </c:pt>
              </c:strCache>
            </c:strRef>
          </c:tx>
          <c:spPr>
            <a:ln w="25400" cap="rnd">
              <a:noFill/>
              <a:round/>
            </a:ln>
            <a:effectLst/>
          </c:spPr>
          <c:marker>
            <c:symbol val="circle"/>
            <c:size val="5"/>
            <c:spPr>
              <a:solidFill>
                <a:schemeClr val="accent2"/>
              </a:solidFill>
              <a:ln w="9525">
                <a:solidFill>
                  <a:schemeClr val="accent2"/>
                </a:solidFill>
              </a:ln>
              <a:effectLst/>
            </c:spPr>
          </c:marker>
          <c:xVal>
            <c:numRef>
              <c:f>'Week - 5'!$A$2:$A$41</c:f>
            </c:numRef>
          </c:xVal>
          <c:yVal>
            <c:numRef>
              <c:f>'Week - 5'!$V$2:$V$41</c:f>
            </c:numRef>
          </c:yVal>
          <c:smooth val="0"/>
          <c:extLst>
            <c:ext xmlns:c16="http://schemas.microsoft.com/office/drawing/2014/chart" uri="{C3380CC4-5D6E-409C-BE32-E72D297353CC}">
              <c16:uniqueId val="{00000005-F3C6-4641-9E74-14DA27F16294}"/>
            </c:ext>
          </c:extLst>
        </c:ser>
        <c:dLbls>
          <c:showLegendKey val="0"/>
          <c:showVal val="0"/>
          <c:showCatName val="0"/>
          <c:showSerName val="0"/>
          <c:showPercent val="0"/>
          <c:showBubbleSize val="0"/>
        </c:dLbls>
        <c:axId val="1620313376"/>
        <c:axId val="1208765280"/>
      </c:scatterChart>
      <c:scatterChart>
        <c:scatterStyle val="lineMarker"/>
        <c:varyColors val="0"/>
        <c:ser>
          <c:idx val="2"/>
          <c:order val="2"/>
          <c:tx>
            <c:strRef>
              <c:f>'Week - 5'!$K$1</c:f>
              <c:strCache>
                <c:ptCount val="1"/>
                <c:pt idx="0">
                  <c:v>Time of Departure (from Home)</c:v>
                </c:pt>
              </c:strCache>
            </c:strRef>
          </c:tx>
          <c:spPr>
            <a:ln w="19050" cap="rnd">
              <a:noFill/>
              <a:round/>
            </a:ln>
            <a:effectLst/>
          </c:spPr>
          <c:marker>
            <c:symbol val="circle"/>
            <c:size val="5"/>
            <c:spPr>
              <a:solidFill>
                <a:schemeClr val="accent6"/>
              </a:solidFill>
              <a:ln w="9525">
                <a:solidFill>
                  <a:schemeClr val="accent3"/>
                </a:solidFill>
              </a:ln>
              <a:effectLst/>
            </c:spPr>
          </c:marker>
          <c:xVal>
            <c:numRef>
              <c:f>'Week - 5'!$A$2:$A$41</c:f>
            </c:numRef>
          </c:xVal>
          <c:yVal>
            <c:numRef>
              <c:f>'Week - 5'!$K$2:$K$41</c:f>
              <c:numCache>
                <c:formatCode>[$-409]h:mm\ AM/PM;@</c:formatCode>
                <c:ptCount val="40"/>
                <c:pt idx="0">
                  <c:v>0.2986111111111111</c:v>
                </c:pt>
                <c:pt idx="1">
                  <c:v>0.36458333333333331</c:v>
                </c:pt>
                <c:pt idx="2">
                  <c:v>0.27083333333333331</c:v>
                </c:pt>
                <c:pt idx="3">
                  <c:v>0.5625</c:v>
                </c:pt>
                <c:pt idx="4">
                  <c:v>0.28472222222222221</c:v>
                </c:pt>
                <c:pt idx="5">
                  <c:v>0.375</c:v>
                </c:pt>
                <c:pt idx="6">
                  <c:v>0.41666666666666669</c:v>
                </c:pt>
                <c:pt idx="7">
                  <c:v>0.54166666666666663</c:v>
                </c:pt>
                <c:pt idx="8">
                  <c:v>0.54166666666666663</c:v>
                </c:pt>
                <c:pt idx="9">
                  <c:v>0.20833333333333334</c:v>
                </c:pt>
                <c:pt idx="10">
                  <c:v>0.58333333333333337</c:v>
                </c:pt>
                <c:pt idx="11">
                  <c:v>0.46875</c:v>
                </c:pt>
                <c:pt idx="12">
                  <c:v>0.19791666666666666</c:v>
                </c:pt>
                <c:pt idx="13">
                  <c:v>0.3125</c:v>
                </c:pt>
                <c:pt idx="14">
                  <c:v>0.45833333333333331</c:v>
                </c:pt>
                <c:pt idx="15">
                  <c:v>0.29166666666666669</c:v>
                </c:pt>
                <c:pt idx="16">
                  <c:v>0.39583333333333331</c:v>
                </c:pt>
                <c:pt idx="17">
                  <c:v>0.5</c:v>
                </c:pt>
                <c:pt idx="18">
                  <c:v>0.875</c:v>
                </c:pt>
                <c:pt idx="19">
                  <c:v>0.5625</c:v>
                </c:pt>
                <c:pt idx="20">
                  <c:v>0.52083333333333337</c:v>
                </c:pt>
                <c:pt idx="21">
                  <c:v>0.375</c:v>
                </c:pt>
                <c:pt idx="22">
                  <c:v>0.5</c:v>
                </c:pt>
                <c:pt idx="23">
                  <c:v>0.5</c:v>
                </c:pt>
                <c:pt idx="24">
                  <c:v>0.3125</c:v>
                </c:pt>
                <c:pt idx="25">
                  <c:v>0.29166666666666669</c:v>
                </c:pt>
                <c:pt idx="26">
                  <c:v>0.70833333333333337</c:v>
                </c:pt>
                <c:pt idx="27">
                  <c:v>0.27083333333333331</c:v>
                </c:pt>
                <c:pt idx="28">
                  <c:v>0.25</c:v>
                </c:pt>
                <c:pt idx="29">
                  <c:v>0.32291666666666669</c:v>
                </c:pt>
                <c:pt idx="30">
                  <c:v>0.47916666666666669</c:v>
                </c:pt>
                <c:pt idx="31">
                  <c:v>0.29166666666666669</c:v>
                </c:pt>
                <c:pt idx="32">
                  <c:v>0.22916666666666666</c:v>
                </c:pt>
                <c:pt idx="33">
                  <c:v>0.1875</c:v>
                </c:pt>
                <c:pt idx="34">
                  <c:v>0.29166666666666669</c:v>
                </c:pt>
                <c:pt idx="35">
                  <c:v>0.25</c:v>
                </c:pt>
                <c:pt idx="36">
                  <c:v>0.20833333333333334</c:v>
                </c:pt>
                <c:pt idx="37">
                  <c:v>0.20833333333333334</c:v>
                </c:pt>
                <c:pt idx="38">
                  <c:v>0.19791666666666666</c:v>
                </c:pt>
                <c:pt idx="39">
                  <c:v>0.16666666666666666</c:v>
                </c:pt>
              </c:numCache>
            </c:numRef>
          </c:yVal>
          <c:smooth val="0"/>
          <c:extLst>
            <c:ext xmlns:c16="http://schemas.microsoft.com/office/drawing/2014/chart" uri="{C3380CC4-5D6E-409C-BE32-E72D297353CC}">
              <c16:uniqueId val="{00000006-F3C6-4641-9E74-14DA27F16294}"/>
            </c:ext>
          </c:extLst>
        </c:ser>
        <c:ser>
          <c:idx val="3"/>
          <c:order val="3"/>
          <c:tx>
            <c:strRef>
              <c:f>'Week - 5'!$L$1</c:f>
              <c:strCache>
                <c:ptCount val="1"/>
                <c:pt idx="0">
                  <c:v>Time of Arrival (at Work)</c:v>
                </c:pt>
              </c:strCache>
            </c:strRef>
          </c:tx>
          <c:spPr>
            <a:ln w="19050" cap="rnd">
              <a:noFill/>
              <a:round/>
            </a:ln>
            <a:effectLst/>
          </c:spPr>
          <c:marker>
            <c:symbol val="circle"/>
            <c:size val="5"/>
            <c:spPr>
              <a:solidFill>
                <a:schemeClr val="accent4"/>
              </a:solidFill>
              <a:ln w="9525">
                <a:solidFill>
                  <a:schemeClr val="accent4"/>
                </a:solidFill>
              </a:ln>
              <a:effectLst/>
            </c:spPr>
          </c:marker>
          <c:xVal>
            <c:numRef>
              <c:f>'Week - 5'!$A$2:$A$41</c:f>
            </c:numRef>
          </c:xVal>
          <c:yVal>
            <c:numRef>
              <c:f>'Week - 5'!$L$2:$L$41</c:f>
              <c:numCache>
                <c:formatCode>[$-409]h:mm\ AM/PM;@</c:formatCode>
                <c:ptCount val="40"/>
                <c:pt idx="0">
                  <c:v>0.30902777777777779</c:v>
                </c:pt>
                <c:pt idx="1">
                  <c:v>0.375</c:v>
                </c:pt>
                <c:pt idx="2">
                  <c:v>0.29166666666666669</c:v>
                </c:pt>
                <c:pt idx="3">
                  <c:v>0.58333333333333337</c:v>
                </c:pt>
                <c:pt idx="4">
                  <c:v>0.30902777777777779</c:v>
                </c:pt>
                <c:pt idx="5">
                  <c:v>0.3888888888888889</c:v>
                </c:pt>
                <c:pt idx="6">
                  <c:v>0.45833333333333331</c:v>
                </c:pt>
                <c:pt idx="7">
                  <c:v>0.57291666666666663</c:v>
                </c:pt>
                <c:pt idx="8">
                  <c:v>0.58333333333333337</c:v>
                </c:pt>
                <c:pt idx="9">
                  <c:v>0.22916666666666666</c:v>
                </c:pt>
                <c:pt idx="10">
                  <c:v>0.625</c:v>
                </c:pt>
                <c:pt idx="11">
                  <c:v>0.5</c:v>
                </c:pt>
                <c:pt idx="12">
                  <c:v>0.22916666666666666</c:v>
                </c:pt>
                <c:pt idx="13">
                  <c:v>0.32291666666666669</c:v>
                </c:pt>
                <c:pt idx="14">
                  <c:v>0.47916666666666669</c:v>
                </c:pt>
                <c:pt idx="15">
                  <c:v>0.3263888888888889</c:v>
                </c:pt>
                <c:pt idx="16">
                  <c:v>0.41666666666666669</c:v>
                </c:pt>
                <c:pt idx="17">
                  <c:v>0.57291666666666663</c:v>
                </c:pt>
                <c:pt idx="18">
                  <c:v>0.91666666666666663</c:v>
                </c:pt>
                <c:pt idx="19">
                  <c:v>0.61458333333333337</c:v>
                </c:pt>
                <c:pt idx="20">
                  <c:v>0.60416666666666663</c:v>
                </c:pt>
                <c:pt idx="21">
                  <c:v>0.39583333333333331</c:v>
                </c:pt>
                <c:pt idx="22">
                  <c:v>0.58333333333333337</c:v>
                </c:pt>
                <c:pt idx="23">
                  <c:v>0.5625</c:v>
                </c:pt>
                <c:pt idx="24">
                  <c:v>0.36458333333333331</c:v>
                </c:pt>
                <c:pt idx="25">
                  <c:v>0.33333333333333331</c:v>
                </c:pt>
                <c:pt idx="26">
                  <c:v>0.79166666666666663</c:v>
                </c:pt>
                <c:pt idx="27">
                  <c:v>0.33333333333333331</c:v>
                </c:pt>
                <c:pt idx="28">
                  <c:v>0.3125</c:v>
                </c:pt>
                <c:pt idx="29">
                  <c:v>0.375</c:v>
                </c:pt>
                <c:pt idx="30">
                  <c:v>0.58333333333333337</c:v>
                </c:pt>
                <c:pt idx="31">
                  <c:v>0.39583333333333331</c:v>
                </c:pt>
                <c:pt idx="32">
                  <c:v>0.29166666666666669</c:v>
                </c:pt>
                <c:pt idx="33">
                  <c:v>0.27083333333333331</c:v>
                </c:pt>
                <c:pt idx="34">
                  <c:v>0.375</c:v>
                </c:pt>
                <c:pt idx="35">
                  <c:v>0.33333333333333331</c:v>
                </c:pt>
                <c:pt idx="36">
                  <c:v>0.27083333333333331</c:v>
                </c:pt>
                <c:pt idx="37">
                  <c:v>0.3125</c:v>
                </c:pt>
                <c:pt idx="38">
                  <c:v>0.3125</c:v>
                </c:pt>
                <c:pt idx="39">
                  <c:v>0.27083333333333331</c:v>
                </c:pt>
              </c:numCache>
            </c:numRef>
          </c:yVal>
          <c:smooth val="0"/>
          <c:extLst>
            <c:ext xmlns:c16="http://schemas.microsoft.com/office/drawing/2014/chart" uri="{C3380CC4-5D6E-409C-BE32-E72D297353CC}">
              <c16:uniqueId val="{00000007-F3C6-4641-9E74-14DA27F16294}"/>
            </c:ext>
          </c:extLst>
        </c:ser>
        <c:dLbls>
          <c:showLegendKey val="0"/>
          <c:showVal val="0"/>
          <c:showCatName val="0"/>
          <c:showSerName val="0"/>
          <c:showPercent val="0"/>
          <c:showBubbleSize val="0"/>
        </c:dLbls>
        <c:axId val="1620313376"/>
        <c:axId val="1208765280"/>
      </c:scatterChart>
      <c:valAx>
        <c:axId val="1620313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765280"/>
        <c:crosses val="autoZero"/>
        <c:crossBetween val="midCat"/>
      </c:valAx>
      <c:valAx>
        <c:axId val="1208765280"/>
        <c:scaling>
          <c:orientation val="minMax"/>
        </c:scaling>
        <c:delete val="0"/>
        <c:axPos val="l"/>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313376"/>
        <c:crosses val="autoZero"/>
        <c:crossBetween val="midCat"/>
      </c:valAx>
      <c:spPr>
        <a:noFill/>
        <a:ln>
          <a:solidFill>
            <a:schemeClr val="accent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'CHART-hidden'!$F$1</c:f>
              <c:strCache>
                <c:ptCount val="1"/>
                <c:pt idx="0">
                  <c:v>Time of Departure (from Home)</c:v>
                </c:pt>
              </c:strCache>
            </c:strRef>
          </c:tx>
          <c:spPr>
            <a:ln w="25400" cap="rnd">
              <a:noFill/>
              <a:round/>
            </a:ln>
            <a:effectLst/>
          </c:spPr>
          <c:marker>
            <c:symbol val="circle"/>
            <c:size val="5"/>
            <c:spPr>
              <a:solidFill>
                <a:schemeClr val="accent1"/>
              </a:solidFill>
              <a:ln w="9525">
                <a:solidFill>
                  <a:schemeClr val="accent1"/>
                </a:solidFill>
              </a:ln>
              <a:effectLst/>
            </c:spPr>
          </c:marker>
          <c:yVal>
            <c:numRef>
              <c:f>'CHART-hidden'!$F$2:$F$42</c:f>
              <c:numCache>
                <c:formatCode>[$-409]h:mm\ AM/PM;@</c:formatCode>
                <c:ptCount val="41"/>
                <c:pt idx="0">
                  <c:v>0.54166666666666663</c:v>
                </c:pt>
                <c:pt idx="1">
                  <c:v>0.45833333333333331</c:v>
                </c:pt>
                <c:pt idx="2">
                  <c:v>0.45833333333333331</c:v>
                </c:pt>
                <c:pt idx="3">
                  <c:v>0.29166666666666669</c:v>
                </c:pt>
                <c:pt idx="4">
                  <c:v>0.5</c:v>
                </c:pt>
                <c:pt idx="5">
                  <c:v>0.20833333333333334</c:v>
                </c:pt>
                <c:pt idx="6">
                  <c:v>0.20833333333333334</c:v>
                </c:pt>
                <c:pt idx="7">
                  <c:v>0.39583333333333331</c:v>
                </c:pt>
                <c:pt idx="8">
                  <c:v>0.875</c:v>
                </c:pt>
                <c:pt idx="9">
                  <c:v>0.46875</c:v>
                </c:pt>
                <c:pt idx="10">
                  <c:v>0.2986111111111111</c:v>
                </c:pt>
                <c:pt idx="11">
                  <c:v>0.54166666666666663</c:v>
                </c:pt>
                <c:pt idx="12">
                  <c:v>0.19791666666666666</c:v>
                </c:pt>
                <c:pt idx="13">
                  <c:v>0.27083333333333331</c:v>
                </c:pt>
                <c:pt idx="14">
                  <c:v>0.70833333333333337</c:v>
                </c:pt>
                <c:pt idx="15">
                  <c:v>0.22916666666666666</c:v>
                </c:pt>
                <c:pt idx="16">
                  <c:v>0.20833333333333334</c:v>
                </c:pt>
                <c:pt idx="17">
                  <c:v>0.5625</c:v>
                </c:pt>
                <c:pt idx="18">
                  <c:v>0.5</c:v>
                </c:pt>
                <c:pt idx="19">
                  <c:v>0.375</c:v>
                </c:pt>
                <c:pt idx="20">
                  <c:v>0.3125</c:v>
                </c:pt>
                <c:pt idx="21">
                  <c:v>0.375</c:v>
                </c:pt>
                <c:pt idx="22">
                  <c:v>0.28472222222222221</c:v>
                </c:pt>
                <c:pt idx="23">
                  <c:v>0.1875</c:v>
                </c:pt>
                <c:pt idx="24">
                  <c:v>0.36458333333333331</c:v>
                </c:pt>
                <c:pt idx="25">
                  <c:v>0.32291666666666669</c:v>
                </c:pt>
                <c:pt idx="26">
                  <c:v>0.52083333333333337</c:v>
                </c:pt>
                <c:pt idx="27">
                  <c:v>0.58333333333333337</c:v>
                </c:pt>
                <c:pt idx="28">
                  <c:v>0.47916666666666669</c:v>
                </c:pt>
                <c:pt idx="29">
                  <c:v>0.41666666666666669</c:v>
                </c:pt>
                <c:pt idx="30">
                  <c:v>0.29166666666666669</c:v>
                </c:pt>
                <c:pt idx="31">
                  <c:v>0.27083333333333331</c:v>
                </c:pt>
                <c:pt idx="32">
                  <c:v>0.16666666666666666</c:v>
                </c:pt>
                <c:pt idx="33">
                  <c:v>0.19791666666666666</c:v>
                </c:pt>
                <c:pt idx="34">
                  <c:v>0.3125</c:v>
                </c:pt>
                <c:pt idx="35">
                  <c:v>0.5</c:v>
                </c:pt>
                <c:pt idx="36">
                  <c:v>0.25</c:v>
                </c:pt>
                <c:pt idx="37">
                  <c:v>0.29166666666666669</c:v>
                </c:pt>
                <c:pt idx="38">
                  <c:v>0.25</c:v>
                </c:pt>
                <c:pt idx="39">
                  <c:v>0.5625</c:v>
                </c:pt>
                <c:pt idx="40">
                  <c:v>0.29166666666666669</c:v>
                </c:pt>
              </c:numCache>
            </c:numRef>
          </c:yVal>
          <c:smooth val="0"/>
          <c:extLst>
            <c:ext xmlns:c16="http://schemas.microsoft.com/office/drawing/2014/chart" uri="{C3380CC4-5D6E-409C-BE32-E72D297353CC}">
              <c16:uniqueId val="{00000000-5D2E-4D42-B660-2A26B9F6E660}"/>
            </c:ext>
          </c:extLst>
        </c:ser>
        <c:ser>
          <c:idx val="1"/>
          <c:order val="1"/>
          <c:tx>
            <c:strRef>
              <c:f>'CHART-hidden'!$G$1</c:f>
              <c:strCache>
                <c:ptCount val="1"/>
                <c:pt idx="0">
                  <c:v>Time of Arrival (at Work)</c:v>
                </c:pt>
              </c:strCache>
            </c:strRef>
          </c:tx>
          <c:spPr>
            <a:ln w="25400" cap="rnd">
              <a:noFill/>
              <a:round/>
            </a:ln>
            <a:effectLst/>
          </c:spPr>
          <c:marker>
            <c:symbol val="circle"/>
            <c:size val="5"/>
            <c:spPr>
              <a:solidFill>
                <a:schemeClr val="accent2"/>
              </a:solidFill>
              <a:ln w="9525">
                <a:solidFill>
                  <a:schemeClr val="accent2"/>
                </a:solidFill>
              </a:ln>
              <a:effectLst/>
            </c:spPr>
          </c:marker>
          <c:yVal>
            <c:numRef>
              <c:f>'CHART-hidden'!$G$2:$G$42</c:f>
              <c:numCache>
                <c:formatCode>[$-409]h:mm\ AM/PM;@</c:formatCode>
                <c:ptCount val="41"/>
                <c:pt idx="0">
                  <c:v>0.58333333333333337</c:v>
                </c:pt>
                <c:pt idx="1">
                  <c:v>0.47916666666666669</c:v>
                </c:pt>
                <c:pt idx="2">
                  <c:v>0.47916666666666669</c:v>
                </c:pt>
                <c:pt idx="3">
                  <c:v>0.39583333333333331</c:v>
                </c:pt>
                <c:pt idx="4">
                  <c:v>0.58333333333333337</c:v>
                </c:pt>
                <c:pt idx="5">
                  <c:v>0.3125</c:v>
                </c:pt>
                <c:pt idx="6">
                  <c:v>0.27083333333333331</c:v>
                </c:pt>
                <c:pt idx="7">
                  <c:v>0.41666666666666669</c:v>
                </c:pt>
                <c:pt idx="8">
                  <c:v>0.91666666666666663</c:v>
                </c:pt>
                <c:pt idx="9">
                  <c:v>0.5</c:v>
                </c:pt>
                <c:pt idx="10">
                  <c:v>0.30902777777777779</c:v>
                </c:pt>
                <c:pt idx="11">
                  <c:v>0.57291666666666663</c:v>
                </c:pt>
                <c:pt idx="12">
                  <c:v>0.22916666666666666</c:v>
                </c:pt>
                <c:pt idx="13">
                  <c:v>0.33333333333333331</c:v>
                </c:pt>
                <c:pt idx="14">
                  <c:v>0.79166666666666663</c:v>
                </c:pt>
                <c:pt idx="15">
                  <c:v>0.29166666666666669</c:v>
                </c:pt>
                <c:pt idx="16">
                  <c:v>0.22916666666666666</c:v>
                </c:pt>
                <c:pt idx="17">
                  <c:v>0.61458333333333337</c:v>
                </c:pt>
                <c:pt idx="18">
                  <c:v>0.5625</c:v>
                </c:pt>
                <c:pt idx="19">
                  <c:v>0.3888888888888889</c:v>
                </c:pt>
                <c:pt idx="20">
                  <c:v>0.36458333333333331</c:v>
                </c:pt>
                <c:pt idx="21">
                  <c:v>0.39583333333333331</c:v>
                </c:pt>
                <c:pt idx="22">
                  <c:v>0.30902777777777779</c:v>
                </c:pt>
                <c:pt idx="23">
                  <c:v>0.27083333333333331</c:v>
                </c:pt>
                <c:pt idx="24">
                  <c:v>0.375</c:v>
                </c:pt>
                <c:pt idx="25">
                  <c:v>0.375</c:v>
                </c:pt>
                <c:pt idx="26">
                  <c:v>0.60416666666666663</c:v>
                </c:pt>
                <c:pt idx="27">
                  <c:v>0.625</c:v>
                </c:pt>
                <c:pt idx="28">
                  <c:v>0.58333333333333337</c:v>
                </c:pt>
                <c:pt idx="29">
                  <c:v>0.45833333333333331</c:v>
                </c:pt>
                <c:pt idx="30">
                  <c:v>0.375</c:v>
                </c:pt>
                <c:pt idx="31">
                  <c:v>0.29166666666666669</c:v>
                </c:pt>
                <c:pt idx="32">
                  <c:v>0.27083333333333331</c:v>
                </c:pt>
                <c:pt idx="33">
                  <c:v>0.3125</c:v>
                </c:pt>
                <c:pt idx="34">
                  <c:v>0.32291666666666669</c:v>
                </c:pt>
                <c:pt idx="35">
                  <c:v>0.57291666666666663</c:v>
                </c:pt>
                <c:pt idx="36">
                  <c:v>0.33333333333333331</c:v>
                </c:pt>
                <c:pt idx="37">
                  <c:v>0.33333333333333331</c:v>
                </c:pt>
                <c:pt idx="38">
                  <c:v>0.3125</c:v>
                </c:pt>
                <c:pt idx="39">
                  <c:v>0.58333333333333337</c:v>
                </c:pt>
                <c:pt idx="40">
                  <c:v>0.3263888888888889</c:v>
                </c:pt>
              </c:numCache>
            </c:numRef>
          </c:yVal>
          <c:smooth val="0"/>
          <c:extLst>
            <c:ext xmlns:c16="http://schemas.microsoft.com/office/drawing/2014/chart" uri="{C3380CC4-5D6E-409C-BE32-E72D297353CC}">
              <c16:uniqueId val="{00000001-5D2E-4D42-B660-2A26B9F6E660}"/>
            </c:ext>
          </c:extLst>
        </c:ser>
        <c:dLbls>
          <c:showLegendKey val="0"/>
          <c:showVal val="0"/>
          <c:showCatName val="0"/>
          <c:showSerName val="0"/>
          <c:showPercent val="0"/>
          <c:showBubbleSize val="0"/>
        </c:dLbls>
        <c:axId val="1488492800"/>
        <c:axId val="1209915008"/>
      </c:scatterChart>
      <c:valAx>
        <c:axId val="14884928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915008"/>
        <c:crosses val="autoZero"/>
        <c:crossBetween val="midCat"/>
      </c:valAx>
      <c:valAx>
        <c:axId val="1209915008"/>
        <c:scaling>
          <c:orientation val="minMax"/>
        </c:scaling>
        <c:delete val="0"/>
        <c:axPos val="l"/>
        <c:majorGridlines>
          <c:spPr>
            <a:ln w="9525" cap="flat" cmpd="sng" algn="ctr">
              <a:solidFill>
                <a:schemeClr val="tx1">
                  <a:lumMod val="15000"/>
                  <a:lumOff val="85000"/>
                </a:schemeClr>
              </a:solidFill>
              <a:round/>
            </a:ln>
            <a:effectLst/>
          </c:spPr>
        </c:majorGridlines>
        <c:numFmt formatCode="[$-409]h:mm\ AM/P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4928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200025</xdr:colOff>
      <xdr:row>1</xdr:row>
      <xdr:rowOff>33337</xdr:rowOff>
    </xdr:from>
    <xdr:to>
      <xdr:col>11</xdr:col>
      <xdr:colOff>9525</xdr:colOff>
      <xdr:row>19</xdr:row>
      <xdr:rowOff>147637</xdr:rowOff>
    </xdr:to>
    <xdr:graphicFrame macro="">
      <xdr:nvGraphicFramePr>
        <xdr:cNvPr id="2" name="Chart 1">
          <a:extLst>
            <a:ext uri="{FF2B5EF4-FFF2-40B4-BE49-F238E27FC236}">
              <a16:creationId xmlns:a16="http://schemas.microsoft.com/office/drawing/2014/main" id="{D5403F70-CC35-44A0-825E-EF7380575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257175</xdr:colOff>
      <xdr:row>0</xdr:row>
      <xdr:rowOff>133349</xdr:rowOff>
    </xdr:from>
    <xdr:to>
      <xdr:col>17</xdr:col>
      <xdr:colOff>142875</xdr:colOff>
      <xdr:row>21</xdr:row>
      <xdr:rowOff>47624</xdr:rowOff>
    </xdr:to>
    <xdr:graphicFrame macro="">
      <xdr:nvGraphicFramePr>
        <xdr:cNvPr id="4" name="Chart 3">
          <a:extLst>
            <a:ext uri="{FF2B5EF4-FFF2-40B4-BE49-F238E27FC236}">
              <a16:creationId xmlns:a16="http://schemas.microsoft.com/office/drawing/2014/main" id="{CD6DAC6E-BFB5-4ACA-AF87-DDDB17D94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0</xdr:row>
      <xdr:rowOff>0</xdr:rowOff>
    </xdr:from>
    <xdr:to>
      <xdr:col>3</xdr:col>
      <xdr:colOff>0</xdr:colOff>
      <xdr:row>13</xdr:row>
      <xdr:rowOff>47625</xdr:rowOff>
    </xdr:to>
    <mc:AlternateContent xmlns:mc="http://schemas.openxmlformats.org/markup-compatibility/2006" xmlns:sle15="http://schemas.microsoft.com/office/drawing/2012/slicer">
      <mc:Choice Requires="sle15">
        <xdr:graphicFrame macro="">
          <xdr:nvGraphicFramePr>
            <xdr:cNvPr id="10" name="Location of Residence 1">
              <a:extLst>
                <a:ext uri="{FF2B5EF4-FFF2-40B4-BE49-F238E27FC236}">
                  <a16:creationId xmlns:a16="http://schemas.microsoft.com/office/drawing/2014/main" id="{5B8B484C-EC6F-4FE6-B8E5-19EB07087CD9}"/>
                </a:ext>
              </a:extLst>
            </xdr:cNvPr>
            <xdr:cNvGraphicFramePr/>
          </xdr:nvGraphicFramePr>
          <xdr:xfrm>
            <a:off x="0" y="0"/>
            <a:ext cx="0" cy="0"/>
          </xdr:xfrm>
          <a:graphic>
            <a:graphicData uri="http://schemas.microsoft.com/office/drawing/2010/slicer">
              <sle:slicer xmlns:sle="http://schemas.microsoft.com/office/drawing/2010/slicer" name="Location of Residence 1"/>
            </a:graphicData>
          </a:graphic>
        </xdr:graphicFrame>
      </mc:Choice>
      <mc:Fallback xmlns="">
        <xdr:sp macro="" textlink="">
          <xdr:nvSpPr>
            <xdr:cNvPr id="0" name=""/>
            <xdr:cNvSpPr>
              <a:spLocks noTextEdit="1"/>
            </xdr:cNvSpPr>
          </xdr:nvSpPr>
          <xdr:spPr>
            <a:xfrm>
              <a:off x="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13</xdr:row>
      <xdr:rowOff>0</xdr:rowOff>
    </xdr:from>
    <xdr:to>
      <xdr:col>3</xdr:col>
      <xdr:colOff>0</xdr:colOff>
      <xdr:row>26</xdr:row>
      <xdr:rowOff>47625</xdr:rowOff>
    </xdr:to>
    <mc:AlternateContent xmlns:mc="http://schemas.openxmlformats.org/markup-compatibility/2006" xmlns:sle15="http://schemas.microsoft.com/office/drawing/2012/slicer">
      <mc:Choice Requires="sle15">
        <xdr:graphicFrame macro="">
          <xdr:nvGraphicFramePr>
            <xdr:cNvPr id="11" name="Time of Departure (from Home)">
              <a:extLst>
                <a:ext uri="{FF2B5EF4-FFF2-40B4-BE49-F238E27FC236}">
                  <a16:creationId xmlns:a16="http://schemas.microsoft.com/office/drawing/2014/main" id="{04C1CD28-31C8-4FB9-AB6D-899654EB2D0F}"/>
                </a:ext>
              </a:extLst>
            </xdr:cNvPr>
            <xdr:cNvGraphicFramePr/>
          </xdr:nvGraphicFramePr>
          <xdr:xfrm>
            <a:off x="0" y="0"/>
            <a:ext cx="0" cy="0"/>
          </xdr:xfrm>
          <a:graphic>
            <a:graphicData uri="http://schemas.microsoft.com/office/drawing/2010/slicer">
              <sle:slicer xmlns:sle="http://schemas.microsoft.com/office/drawing/2010/slicer" name="Time of Departure (from Home)"/>
            </a:graphicData>
          </a:graphic>
        </xdr:graphicFrame>
      </mc:Choice>
      <mc:Fallback xmlns="">
        <xdr:sp macro="" textlink="">
          <xdr:nvSpPr>
            <xdr:cNvPr id="0" name=""/>
            <xdr:cNvSpPr>
              <a:spLocks noTextEdit="1"/>
            </xdr:cNvSpPr>
          </xdr:nvSpPr>
          <xdr:spPr>
            <a:xfrm>
              <a:off x="0" y="2476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0</xdr:colOff>
      <xdr:row>13</xdr:row>
      <xdr:rowOff>0</xdr:rowOff>
    </xdr:from>
    <xdr:to>
      <xdr:col>6</xdr:col>
      <xdr:colOff>0</xdr:colOff>
      <xdr:row>26</xdr:row>
      <xdr:rowOff>47625</xdr:rowOff>
    </xdr:to>
    <mc:AlternateContent xmlns:mc="http://schemas.openxmlformats.org/markup-compatibility/2006" xmlns:sle15="http://schemas.microsoft.com/office/drawing/2012/slicer">
      <mc:Choice Requires="sle15">
        <xdr:graphicFrame macro="">
          <xdr:nvGraphicFramePr>
            <xdr:cNvPr id="12" name="Time of Departure (from Work)">
              <a:extLst>
                <a:ext uri="{FF2B5EF4-FFF2-40B4-BE49-F238E27FC236}">
                  <a16:creationId xmlns:a16="http://schemas.microsoft.com/office/drawing/2014/main" id="{2DD601C7-53F1-47B1-A6A1-6D1826C22687}"/>
                </a:ext>
              </a:extLst>
            </xdr:cNvPr>
            <xdr:cNvGraphicFramePr/>
          </xdr:nvGraphicFramePr>
          <xdr:xfrm>
            <a:off x="0" y="0"/>
            <a:ext cx="0" cy="0"/>
          </xdr:xfrm>
          <a:graphic>
            <a:graphicData uri="http://schemas.microsoft.com/office/drawing/2010/slicer">
              <sle:slicer xmlns:sle="http://schemas.microsoft.com/office/drawing/2010/slicer" name="Time of Departure (from Work)"/>
            </a:graphicData>
          </a:graphic>
        </xdr:graphicFrame>
      </mc:Choice>
      <mc:Fallback xmlns="">
        <xdr:sp macro="" textlink="">
          <xdr:nvSpPr>
            <xdr:cNvPr id="0" name=""/>
            <xdr:cNvSpPr>
              <a:spLocks noTextEdit="1"/>
            </xdr:cNvSpPr>
          </xdr:nvSpPr>
          <xdr:spPr>
            <a:xfrm>
              <a:off x="1828800" y="2476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0</xdr:colOff>
      <xdr:row>0</xdr:row>
      <xdr:rowOff>0</xdr:rowOff>
    </xdr:from>
    <xdr:to>
      <xdr:col>6</xdr:col>
      <xdr:colOff>0</xdr:colOff>
      <xdr:row>13</xdr:row>
      <xdr:rowOff>47625</xdr:rowOff>
    </xdr:to>
    <mc:AlternateContent xmlns:mc="http://schemas.openxmlformats.org/markup-compatibility/2006" xmlns:sle15="http://schemas.microsoft.com/office/drawing/2012/slicer">
      <mc:Choice Requires="sle15">
        <xdr:graphicFrame macro="">
          <xdr:nvGraphicFramePr>
            <xdr:cNvPr id="13" name="Workplace Location">
              <a:extLst>
                <a:ext uri="{FF2B5EF4-FFF2-40B4-BE49-F238E27FC236}">
                  <a16:creationId xmlns:a16="http://schemas.microsoft.com/office/drawing/2014/main" id="{A4A2B610-6C6F-46A0-B8AF-9F42FF034748}"/>
                </a:ext>
              </a:extLst>
            </xdr:cNvPr>
            <xdr:cNvGraphicFramePr/>
          </xdr:nvGraphicFramePr>
          <xdr:xfrm>
            <a:off x="0" y="0"/>
            <a:ext cx="0" cy="0"/>
          </xdr:xfrm>
          <a:graphic>
            <a:graphicData uri="http://schemas.microsoft.com/office/drawing/2010/slicer">
              <sle:slicer xmlns:sle="http://schemas.microsoft.com/office/drawing/2010/slicer" name="Workplace Location"/>
            </a:graphicData>
          </a:graphic>
        </xdr:graphicFrame>
      </mc:Choice>
      <mc:Fallback xmlns="">
        <xdr:sp macro="" textlink="">
          <xdr:nvSpPr>
            <xdr:cNvPr id="0" name=""/>
            <xdr:cNvSpPr>
              <a:spLocks noTextEdit="1"/>
            </xdr:cNvSpPr>
          </xdr:nvSpPr>
          <xdr:spPr>
            <a:xfrm>
              <a:off x="18288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257175</xdr:colOff>
      <xdr:row>45</xdr:row>
      <xdr:rowOff>61912</xdr:rowOff>
    </xdr:from>
    <xdr:to>
      <xdr:col>11</xdr:col>
      <xdr:colOff>152400</xdr:colOff>
      <xdr:row>54</xdr:row>
      <xdr:rowOff>19050</xdr:rowOff>
    </xdr:to>
    <xdr:graphicFrame macro="">
      <xdr:nvGraphicFramePr>
        <xdr:cNvPr id="5" name="Chart 4">
          <a:extLst>
            <a:ext uri="{FF2B5EF4-FFF2-40B4-BE49-F238E27FC236}">
              <a16:creationId xmlns:a16="http://schemas.microsoft.com/office/drawing/2014/main" id="{94074B77-E765-4B01-93C9-230C07E75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104775</xdr:colOff>
      <xdr:row>3</xdr:row>
      <xdr:rowOff>114300</xdr:rowOff>
    </xdr:from>
    <xdr:to>
      <xdr:col>6</xdr:col>
      <xdr:colOff>485775</xdr:colOff>
      <xdr:row>16</xdr:row>
      <xdr:rowOff>161925</xdr:rowOff>
    </xdr:to>
    <mc:AlternateContent xmlns:mc="http://schemas.openxmlformats.org/markup-compatibility/2006" xmlns:sle15="http://schemas.microsoft.com/office/drawing/2012/slicer">
      <mc:Choice Requires="sle15">
        <xdr:graphicFrame macro="">
          <xdr:nvGraphicFramePr>
            <xdr:cNvPr id="6" name="Location of Residence">
              <a:extLst>
                <a:ext uri="{FF2B5EF4-FFF2-40B4-BE49-F238E27FC236}">
                  <a16:creationId xmlns:a16="http://schemas.microsoft.com/office/drawing/2014/main" id="{6D70B84A-B90B-4767-A776-5D94E5E0970D}"/>
                </a:ext>
              </a:extLst>
            </xdr:cNvPr>
            <xdr:cNvGraphicFramePr/>
          </xdr:nvGraphicFramePr>
          <xdr:xfrm>
            <a:off x="0" y="0"/>
            <a:ext cx="0" cy="0"/>
          </xdr:xfrm>
          <a:graphic>
            <a:graphicData uri="http://schemas.microsoft.com/office/drawing/2010/slicer">
              <sle:slicer xmlns:sle="http://schemas.microsoft.com/office/drawing/2010/slicer" name="Location of Residence"/>
            </a:graphicData>
          </a:graphic>
        </xdr:graphicFrame>
      </mc:Choice>
      <mc:Fallback xmlns="">
        <xdr:sp macro="" textlink="">
          <xdr:nvSpPr>
            <xdr:cNvPr id="0" name=""/>
            <xdr:cNvSpPr>
              <a:spLocks noTextEdit="1"/>
            </xdr:cNvSpPr>
          </xdr:nvSpPr>
          <xdr:spPr>
            <a:xfrm>
              <a:off x="3076575" y="1257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_of_Residence" xr10:uid="{6503CBAB-2AA9-4A4E-B45A-89A3ECE00F70}" sourceName="Location of Residence">
  <extLst>
    <x:ext xmlns:x15="http://schemas.microsoft.com/office/spreadsheetml/2010/11/main" uri="{2F2917AC-EB37-4324-AD4E-5DD8C200BD13}">
      <x15:tableSlicerCache tableId="4" column="6" customListSort="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eparture__from_Home" xr10:uid="{D64A6DBC-DDA7-4A27-AC93-898EA1DB7443}" sourceName="Time of Departure (from Home)">
  <extLst>
    <x:ext xmlns:x15="http://schemas.microsoft.com/office/spreadsheetml/2010/11/main" uri="{2F2917AC-EB37-4324-AD4E-5DD8C200BD13}">
      <x15:tableSlicerCache tableId="4" column="1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eparture__from_Work" xr10:uid="{47148D92-33A9-4B80-9151-7C4B7E767F61}" sourceName="Time of Departure (from Work)">
  <extLst>
    <x:ext xmlns:x15="http://schemas.microsoft.com/office/spreadsheetml/2010/11/main" uri="{2F2917AC-EB37-4324-AD4E-5DD8C200BD13}">
      <x15:tableSlicerCache tableId="4" column="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place_Location" xr10:uid="{1DE762FA-0D14-438E-AC6F-9EAEF98C4E90}" sourceName="Workplace Location">
  <extLst>
    <x:ext xmlns:x15="http://schemas.microsoft.com/office/spreadsheetml/2010/11/main" uri="{2F2917AC-EB37-4324-AD4E-5DD8C200BD13}">
      <x15:tableSlicerCache tableId="4"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of Residence 1" xr10:uid="{8D1F4B93-6223-4A47-A9AF-DA1370C00ED1}" cache="Slicer_Location_of_Residence" caption="Location of Residence" rowHeight="241300"/>
  <slicer name="Time of Departure (from Home)" xr10:uid="{4F0ADBD2-F810-4240-80AD-CD4B1F9E484D}" cache="Slicer_Time_of_Departure__from_Home" caption="Time of Departure (from Home)" rowHeight="241300"/>
  <slicer name="Time of Departure (from Work)" xr10:uid="{CB5B4110-C994-4910-A45B-933FF6F1CD97}" cache="Slicer_Time_of_Departure__from_Work" caption="Time of Departure (from Work)" rowHeight="241300"/>
  <slicer name="Workplace Location" xr10:uid="{067B1A85-465C-4515-B1EE-02FEDD2DD2D6}" cache="Slicer_Workplace_Location" caption="Workplace Lo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of Residence" xr10:uid="{F58ED573-841C-4EBA-9D48-6764697C05F7}" cache="Slicer_Location_of_Residence" caption="Location of Residenc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4C1E2A-4306-43F6-832E-46E7AB88FD0C}" name="Table2" displayName="Table2" ref="A1:R2" insertRow="1" insertRowShift="1" totalsRowShown="0" headerRowDxfId="199" dataDxfId="198">
  <autoFilter ref="A1:R2" xr:uid="{6D58F055-A2C2-450C-B950-9F18DF4CC32A}"/>
  <tableColumns count="18">
    <tableColumn id="1" xr3:uid="{94B263F0-42E7-480D-9A78-E70D36681782}" name="First Name" dataDxfId="197"/>
    <tableColumn id="2" xr3:uid="{6DE44193-663F-4CA4-9771-A68D4705B007}" name="Last Name" dataDxfId="196"/>
    <tableColumn id="3" xr3:uid="{93E2E02C-2CB7-4248-B954-5DBFC0078A63}" name="Age Bracket" dataDxfId="195"/>
    <tableColumn id="4" xr3:uid="{7457433E-D5D1-4820-8442-4F3370B947AC}" name="Gender" dataDxfId="194"/>
    <tableColumn id="25" xr3:uid="{DC165135-8007-4337-8B0B-B1ED080130E4}" name="Marital Status" dataDxfId="193"/>
    <tableColumn id="5" xr3:uid="{FA1CE62E-7ED5-4E2B-8FCB-18933D40D895}" name="Employment Status" dataDxfId="192"/>
    <tableColumn id="6" xr3:uid="{21CF5504-E40B-4116-9004-083880F0843E}" name="Location of Residence" dataDxfId="191"/>
    <tableColumn id="17" xr3:uid="{373B2D68-AA6F-466A-9E98-6BF38BD96C43}" name="Residence Type" dataDxfId="190"/>
    <tableColumn id="18" xr3:uid="{0A0D3253-DFF0-4277-BADE-4284FDC90A2B}" name="Length of Stay" dataDxfId="189"/>
    <tableColumn id="10" xr3:uid="{9D9A8AAD-1E1E-48A4-ACB1-6BF3696C9B7D}" name="Workplace/School Location" dataDxfId="188"/>
    <tableColumn id="11" xr3:uid="{39ECF41E-EB86-467D-BC92-FEAAE33043AD}" name="# of Transportation going to Work" dataDxfId="187"/>
    <tableColumn id="12" xr3:uid="{2CC08D2F-62EA-4E20-9C86-906F3DBA4F5C}" name="Mode of Transportation" dataDxfId="186"/>
    <tableColumn id="13" xr3:uid="{F5EE5709-4CDC-42E2-BED9-F5C2471F4228}" name="Travel Duration (1-way)" dataDxfId="185"/>
    <tableColumn id="24" xr3:uid="{F16530DF-42BD-4E57-90BF-5CB6257CD1C6}" name="Waiting time for your ride" dataDxfId="184"/>
    <tableColumn id="14" xr3:uid="{12B636CC-68CA-47E1-A073-58EF574A14CD}" name="Travel cost (1-way)" dataDxfId="183"/>
    <tableColumn id="15" xr3:uid="{A4C9E5E6-AE18-4C22-B21B-A9B0E0D8CBC2}" name="Length of  Stay in Company/School" dataDxfId="182"/>
    <tableColumn id="19" xr3:uid="{EB3BCDB4-5071-4E70-AD65-EAFE770A3EFB}" name="Is this your first job?" dataDxfId="181"/>
    <tableColumn id="20" xr3:uid="{1D3D77F6-5EFB-49CA-966C-1C9C845CC4FA}" name="If no, what made you quit your previous job?" dataDxfId="180"/>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3EF7EE-DC58-4E82-9E81-636777B9D43C}" name="Table2427" displayName="Table2427" ref="B1:T21" totalsRowShown="0" headerRowDxfId="171">
  <autoFilter ref="B1:T21" xr:uid="{6CCBE61C-A15E-4345-ADBD-C7CFD2C1FEC2}"/>
  <tableColumns count="19">
    <tableColumn id="3" xr3:uid="{49D44D34-2933-4CC2-8BB5-F809CB87D140}" name="Age Bracket" dataDxfId="170"/>
    <tableColumn id="4" xr3:uid="{1EF08F1C-0969-4C7C-B75A-F04D190DA5A3}" name="Gender" dataDxfId="169"/>
    <tableColumn id="25" xr3:uid="{CA7AC0EA-C7A6-4350-B957-A5FA1A9C6DD7}" name="Marital Status" dataDxfId="168"/>
    <tableColumn id="5" xr3:uid="{FDE4E3F7-AA12-474D-AC72-158351795BE3}" name="Employment Status" dataDxfId="167"/>
    <tableColumn id="6" xr3:uid="{276B7D0E-7716-4326-9C1B-B44D6B2FBED2}" name="Location of Residence" dataDxfId="166"/>
    <tableColumn id="16" xr3:uid="{F6D57B23-A73C-42A0-8018-D19B3ABE2FBE}" name="If others,"/>
    <tableColumn id="10" xr3:uid="{CB01F86E-AF65-404B-BB1B-C41BC160A216}" name="Workplace Location" dataDxfId="165"/>
    <tableColumn id="17" xr3:uid="{4EB88B23-A6F5-4A64-815A-58F66A6A0197}" name="If others,2" dataDxfId="164"/>
    <tableColumn id="12" xr3:uid="{0E7C40D3-6F6E-4690-969E-981E60416494}" name="Start of Work (time)" dataDxfId="163"/>
    <tableColumn id="13" xr3:uid="{24F9E9A7-F58D-47C0-836A-F0A92CFA56C0}" name="Time of Departure (from Home)" dataDxfId="162"/>
    <tableColumn id="1" xr3:uid="{779236C3-AFEB-4E21-8891-909AB5716FE0}" name="Time of Arrival (at Work)" dataDxfId="161"/>
    <tableColumn id="18" xr3:uid="{535EF04A-4151-46FE-96E7-35E2543E7B21}" name="Travel Time" dataDxfId="160"/>
    <tableColumn id="14" xr3:uid="{EAC9E25D-90E9-49A2-8D89-9ECD5B3D7A0D}" name="Travel cost " dataDxfId="159"/>
    <tableColumn id="15" xr3:uid="{82542A9F-AC7A-410A-B7FB-0A40CD4E3C8A}" name="End of Work (time)" dataDxfId="158"/>
    <tableColumn id="9" xr3:uid="{E3F18911-C660-48E1-B768-6A1522689A34}" name="Time of Departure (from Work)" dataDxfId="157"/>
    <tableColumn id="2" xr3:uid="{64330B64-48A6-4F7C-8445-C9F804F4ACC2}" name="Time of Arrival (at Home)" dataDxfId="156"/>
    <tableColumn id="21" xr3:uid="{7EF76900-EF96-41E6-8F8C-977ADD5A7440}" name="Work" dataDxfId="155"/>
    <tableColumn id="20" xr3:uid="{0DD0A818-2E68-4D26-98CD-A40AFFA98556}" name="Travel Time2" dataDxfId="154"/>
    <tableColumn id="7" xr3:uid="{FD65F654-1E3A-4DD9-992E-B0689A8F5076}" name="Travel cost" dataDxfId="153"/>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74F0A6-FE93-4575-AFC5-9A8D8AEA022D}" name="Table24272" displayName="Table24272" ref="A1:AB21" totalsRowShown="0" headerRowDxfId="134" dataDxfId="133">
  <autoFilter ref="A1:AB21" xr:uid="{583C95D6-2115-4FCD-B54B-2DCC2380624B}"/>
  <sortState xmlns:xlrd2="http://schemas.microsoft.com/office/spreadsheetml/2017/richdata2" ref="A2:AB21">
    <sortCondition ref="A1:A21"/>
  </sortState>
  <tableColumns count="28">
    <tableColumn id="3" xr3:uid="{CCB98B80-39AC-4140-99A9-7555DEF6561C}" name="User" dataDxfId="132"/>
    <tableColumn id="29" xr3:uid="{210DD834-A7DE-4CFF-8AD9-15CBBB9E0F2F}" name="Age Bracket2" dataDxfId="131"/>
    <tableColumn id="4" xr3:uid="{6B5D0767-4376-4548-9702-BD23677C5FF3}" name="Gender" dataDxfId="130"/>
    <tableColumn id="25" xr3:uid="{22AD1F90-06C1-4B77-9015-6C6615BF3F48}" name="Marital Status" dataDxfId="129"/>
    <tableColumn id="5" xr3:uid="{A0191F5C-9604-4978-827D-DCCC781B7699}" name="Employment Status" dataDxfId="128"/>
    <tableColumn id="6" xr3:uid="{99119666-3EF4-46D9-AEB1-7A25AE10E987}" name="Location of Residence" dataDxfId="127"/>
    <tableColumn id="16" xr3:uid="{CF802C34-3C70-4E39-8CF8-E6261FAA47B8}" name="If others," dataDxfId="126"/>
    <tableColumn id="10" xr3:uid="{77CCCCF8-B932-4668-A52D-FCCC8EE307BC}" name="Workplace Location" dataDxfId="125"/>
    <tableColumn id="17" xr3:uid="{8998EF5E-E5FF-4F48-B870-2F60FBDBC9CF}" name="If others,2" dataDxfId="124"/>
    <tableColumn id="12" xr3:uid="{CF12457B-7D9F-451C-98D6-1A295C27C26C}" name="Start of Work (time)" dataDxfId="123"/>
    <tableColumn id="13" xr3:uid="{4E930275-D153-4882-9A46-7139FEA794DA}" name="Time of Departure (from Home)" dataDxfId="122"/>
    <tableColumn id="1" xr3:uid="{0F277210-E5A3-44AA-BED2-BDF576736BEE}" name="Time of Arrival (at Work)" dataDxfId="121"/>
    <tableColumn id="18" xr3:uid="{CF4DBA28-651C-40E9-95A7-A6B2AD65C293}" name="Travel Time" dataDxfId="120">
      <calculatedColumnFormula>ABS(IF(Table24272[[#This Row],[Time of Arrival (at Work)]]&lt;Table24272[[#This Row],[Time of Departure (from Home)]],Table24272[[#This Row],[Time of Arrival (at Work)]]+24-Table24272[[#This Row],[Time of Departure (from Home)]],Table24272[[#This Row],[Time of Arrival (at Work)]]-Table24272[[#This Row],[Time of Departure (from Home)]]))</calculatedColumnFormula>
    </tableColumn>
    <tableColumn id="14" xr3:uid="{742CD3E8-A243-4F2F-8A3E-EB7172B1F68A}" name="Travel cost " dataDxfId="119"/>
    <tableColumn id="15" xr3:uid="{F8F53DA1-30CD-4AB5-974C-EE4D36E6D3C5}" name="End of Work (time)" dataDxfId="118"/>
    <tableColumn id="9" xr3:uid="{127D914F-CC0C-401A-BB22-987D3B94E8F0}" name="Time of Departure (from Work)" dataDxfId="117"/>
    <tableColumn id="2" xr3:uid="{3BF234E0-6D41-4B89-8B50-CD4B45CE44A6}" name="Time of Arrival (at Home)" dataDxfId="116"/>
    <tableColumn id="21" xr3:uid="{EDEF255B-5050-47F1-9EB7-516F629B6FBC}" name="Total Work Hours" dataDxfId="115">
      <calculatedColumnFormula>IF(Table24272[[#This Row],[End of Work (time)]]&lt;Table24272[[#This Row],[Start of Work (time)]],Table24272[[#This Row],[End of Work (time)]]+24-Table24272[[#This Row],[Start of Work (time)]],Table24272[[#This Row],[End of Work (time)]]-Table24272[[#This Row],[Start of Work (time)]])</calculatedColumnFormula>
    </tableColumn>
    <tableColumn id="20" xr3:uid="{8F4F8C99-AFB4-45F5-9055-D2110CC7CDB7}" name="Travel Time2" dataDxfId="114">
      <calculatedColumnFormula>(IF(Table24272[[#This Row],[Time of Arrival (at Home)]]&lt;Table24272[[#This Row],[Time of Departure (from Work)]],Table24272[[#This Row],[Time of Arrival (at Home)]]+24-Table24272[[#This Row],[Time of Departure (from Work)]],Table24272[[#This Row],[Time of Arrival (at Home)]]-Table24272[[#This Row],[Time of Departure (from Work)]]))</calculatedColumnFormula>
    </tableColumn>
    <tableColumn id="7" xr3:uid="{FD200448-CB0E-40CB-9715-4ACF54ACA49A}" name="Travel cost" dataDxfId="113"/>
    <tableColumn id="11" xr3:uid="{17EAB312-B096-4791-9B0E-C44188BB52D6}" name="Total Travel Time" dataDxfId="112">
      <calculatedColumnFormula>Table24272[[#This Row],[Travel Time2]]+Table24272[[#This Row],[Travel Time]]</calculatedColumnFormula>
    </tableColumn>
    <tableColumn id="24" xr3:uid="{DED50028-B1E1-4EE8-BC8D-C6D52D302C6C}" name="Total travel time in hr" dataDxfId="111">
      <calculatedColumnFormula>HOUR(Table24272[[#This Row],[Total Travel Time]])+MINUTE(Table24272[[#This Row],[Total Travel Time]])/60</calculatedColumnFormula>
    </tableColumn>
    <tableColumn id="30" xr3:uid="{6C4B2140-7CEC-47DE-94CC-F10D2A57B346}" name="% of commute / work + commute" dataDxfId="110">
      <calculatedColumnFormula>Table24272[[#This Row],[Total travel time in hr]]/(Table24272[[#This Row],[Total travel time in hr]]+HOUR(Table24272[[#This Row],[Total Work Hours]])+MINUTE(Table24272[[#This Row],[Total Work Hours]])/60)</calculatedColumnFormula>
    </tableColumn>
    <tableColumn id="8" xr3:uid="{DC4140EA-3290-45A0-9E20-601456CF9A52}" name="% of commute / day" dataDxfId="109">
      <calculatedColumnFormula>Table24272[[#This Row],[Total travel time in hr]]/24</calculatedColumnFormula>
    </tableColumn>
    <tableColumn id="22" xr3:uid="{C4E65675-F568-4300-BFEB-9F3A0FB7CF26}" name="Total travel time (hr) in a year (261 days)" dataDxfId="108">
      <calculatedColumnFormula>Table24272[[#This Row],[Total travel time in hr]]*261</calculatedColumnFormula>
    </tableColumn>
    <tableColumn id="26" xr3:uid="{66606944-ED84-44E2-9399-E20F6820C95A}" name="In days" dataDxfId="107">
      <calculatedColumnFormula>Table24272[[#This Row],[Total travel time (hr) in a year (261 days)]]/24</calculatedColumnFormula>
    </tableColumn>
    <tableColumn id="27" xr3:uid="{FB1085DA-4B9D-404C-A202-012CC034288C}" name="Total Cost" dataDxfId="106">
      <calculatedColumnFormula>Table24272[[#This Row],[Travel cost]]+Table24272[[#This Row],[Travel cost ]]</calculatedColumnFormula>
    </tableColumn>
    <tableColumn id="28" xr3:uid="{F5037817-0319-4D77-B5DA-B6F39016E21F}" name="Total Cost in a year (261 days)" dataDxfId="105">
      <calculatedColumnFormula>Table24272[[#This Row],[Total Cost]]*261</calculatedColumnFormula>
    </tableColumn>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61358D-E2A2-47B8-A999-32D32F3D3B40}" name="Table242724" displayName="Table242724" ref="A1:AB42" totalsRowShown="0" headerRowDxfId="90" dataDxfId="89">
  <autoFilter ref="A1:AB42" xr:uid="{186C10BE-65EB-4CB0-A532-8B2DD8F1CAB9}"/>
  <sortState xmlns:xlrd2="http://schemas.microsoft.com/office/spreadsheetml/2017/richdata2" ref="A2:AB42">
    <sortCondition ref="U1:U42"/>
  </sortState>
  <tableColumns count="28">
    <tableColumn id="3" xr3:uid="{69CBA9DD-847C-4BAB-993A-E0E8BF63CA07}" name="User" dataDxfId="88"/>
    <tableColumn id="29" xr3:uid="{086DF5E7-9665-4711-8D0E-055DE7C3D43A}" name="Age Bracket2" dataDxfId="87"/>
    <tableColumn id="4" xr3:uid="{4F696D4E-84AD-4202-89D0-AB0BE6BD95B8}" name="Gender" dataDxfId="86"/>
    <tableColumn id="25" xr3:uid="{DE5A4C7A-5658-4C08-B00F-FA9A05540ED1}" name="Marital Status" dataDxfId="85"/>
    <tableColumn id="5" xr3:uid="{D17E1FC1-AEB5-4BB5-89D7-B9B0649552EA}" name="Employment Status" dataDxfId="84"/>
    <tableColumn id="6" xr3:uid="{9026EB7C-BBF7-468A-A6AF-508058E83574}" name="Location of Residence" dataDxfId="83"/>
    <tableColumn id="16" xr3:uid="{33EF459D-3452-4DFF-BD72-7A81E483B7A4}" name="If others," dataDxfId="82"/>
    <tableColumn id="10" xr3:uid="{AB1CDE34-9DAF-4307-8954-EB3CD3033E0B}" name="Workplace Location" dataDxfId="81"/>
    <tableColumn id="17" xr3:uid="{543954E0-3E05-4D8B-9445-FF45B65355DB}" name="If others,2" dataDxfId="80"/>
    <tableColumn id="12" xr3:uid="{E54BA864-26F2-4F44-954B-CA702E2B052F}" name="Start of Work (time)" dataDxfId="79"/>
    <tableColumn id="13" xr3:uid="{EF45DB31-6F38-4284-A83E-21E695827B19}" name="Time of Departure (from Home)" dataDxfId="78"/>
    <tableColumn id="1" xr3:uid="{41175EC6-2FE1-4BD8-BF10-4D7527940ECA}" name="Time of Arrival (at Work)" dataDxfId="77"/>
    <tableColumn id="18" xr3:uid="{6A04F74A-5D96-4BBC-B626-B859BCC7DA94}" name="Travel Time" dataDxfId="76">
      <calculatedColumnFormula>ABS(IF(Table242724[[#This Row],[Time of Arrival (at Work)]]&lt;Table242724[[#This Row],[Time of Departure (from Home)]],Table242724[[#This Row],[Time of Arrival (at Work)]]+24-Table242724[[#This Row],[Time of Departure (from Home)]],Table242724[[#This Row],[Time of Arrival (at Work)]]-Table242724[[#This Row],[Time of Departure (from Home)]]))</calculatedColumnFormula>
    </tableColumn>
    <tableColumn id="14" xr3:uid="{F5D71713-14FB-46DC-B753-FEB01F5F3433}" name="Travel cost " dataDxfId="75"/>
    <tableColumn id="15" xr3:uid="{6DB15959-F2A0-4B9D-91A3-DDBBFE67BD93}" name="End of Work (time)" dataDxfId="74"/>
    <tableColumn id="9" xr3:uid="{198F64D4-5401-477C-825F-CC9230616224}" name="Time of Departure (from Work)" dataDxfId="73"/>
    <tableColumn id="2" xr3:uid="{1E06A70C-1CAC-46EC-BE99-6A7CF8AB969A}" name="Time of Arrival (at Home)" dataDxfId="72"/>
    <tableColumn id="21" xr3:uid="{995EF1E0-F259-4237-A265-28AF00488B48}" name="Total Work Hours" dataDxfId="71">
      <calculatedColumnFormula>IF(Table242724[[#This Row],[End of Work (time)]]&lt;Table242724[[#This Row],[Start of Work (time)]],Table242724[[#This Row],[End of Work (time)]]+24-Table242724[[#This Row],[Start of Work (time)]],Table242724[[#This Row],[End of Work (time)]]-Table242724[[#This Row],[Start of Work (time)]])</calculatedColumnFormula>
    </tableColumn>
    <tableColumn id="20" xr3:uid="{7695AE8F-461B-4AA5-8B44-92A3FDD3EBBE}" name="Travel Time2" dataDxfId="70">
      <calculatedColumnFormula>(IF(Table242724[[#This Row],[Time of Arrival (at Home)]]&lt;Table242724[[#This Row],[Time of Departure (from Work)]],Table242724[[#This Row],[Time of Arrival (at Home)]]+24-Table242724[[#This Row],[Time of Departure (from Work)]],Table242724[[#This Row],[Time of Arrival (at Home)]]-Table242724[[#This Row],[Time of Departure (from Work)]]))</calculatedColumnFormula>
    </tableColumn>
    <tableColumn id="7" xr3:uid="{76175C19-E935-4DB2-B087-2AFC74DB7652}" name="Travel cost" dataDxfId="69"/>
    <tableColumn id="11" xr3:uid="{BFAC522F-6A9F-41A7-955C-AF90C6E24B30}" name="Total Travel Time" dataDxfId="68">
      <calculatedColumnFormula>Table242724[[#This Row],[Travel Time2]]+Table242724[[#This Row],[Travel Time]]</calculatedColumnFormula>
    </tableColumn>
    <tableColumn id="24" xr3:uid="{F75BDDB2-4170-484E-AB3E-3E2BB4D3F96B}" name="Total travel time in hr" dataDxfId="67">
      <calculatedColumnFormula>HOUR(Table242724[[#This Row],[Total Travel Time]])+MINUTE(Table242724[[#This Row],[Total Travel Time]])/60</calculatedColumnFormula>
    </tableColumn>
    <tableColumn id="30" xr3:uid="{619A7E7B-67DA-4582-99BD-42FEC06600C5}" name="% of commute / work + commute" dataDxfId="66">
      <calculatedColumnFormula>Table242724[[#This Row],[Total travel time in hr]]/(Table242724[[#This Row],[Total travel time in hr]]+HOUR(Table242724[[#This Row],[Total Work Hours]])+MINUTE(Table242724[[#This Row],[Total Work Hours]])/60)</calculatedColumnFormula>
    </tableColumn>
    <tableColumn id="8" xr3:uid="{DAD61D41-9A42-4AEB-8432-7EA7D28369CC}" name="% of commute / day" dataDxfId="65">
      <calculatedColumnFormula>Table242724[[#This Row],[Total travel time in hr]]/24</calculatedColumnFormula>
    </tableColumn>
    <tableColumn id="22" xr3:uid="{3413A73D-6AC6-47B8-88B2-3035FA2DC712}" name="Total travel time (hr) in a year (261 days)" dataDxfId="64">
      <calculatedColumnFormula>Table242724[[#This Row],[Total travel time in hr]]*261</calculatedColumnFormula>
    </tableColumn>
    <tableColumn id="26" xr3:uid="{A76799A5-B339-455B-BD80-2A517F80CC9E}" name="In days" dataDxfId="63">
      <calculatedColumnFormula>Table242724[[#This Row],[Total travel time (hr) in a year (261 days)]]/24</calculatedColumnFormula>
    </tableColumn>
    <tableColumn id="27" xr3:uid="{0E3D1C8F-4CB3-430F-87B6-D5686734E860}" name="Total Cost" dataDxfId="62">
      <calculatedColumnFormula>Table242724[[#This Row],[Travel cost]]+Table242724[[#This Row],[Travel cost ]]</calculatedColumnFormula>
    </tableColumn>
    <tableColumn id="28" xr3:uid="{C1DED980-384E-4E70-B197-D687EA6392A2}" name="Total Cost in a year (261 days)" dataDxfId="61">
      <calculatedColumnFormula>Table242724[[#This Row],[Total Cost]]*261</calculatedColumnFormula>
    </tableColumn>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C5E907-1529-47F4-9279-FEDBBA95A0D4}" name="Table2427245" displayName="Table2427245" ref="A1:AF41" totalsRowShown="0" headerRowDxfId="43" dataDxfId="42">
  <autoFilter ref="A1:AF41" xr:uid="{FA7393B7-10C3-4CC5-972E-A8A6DB9C66E1}"/>
  <sortState xmlns:xlrd2="http://schemas.microsoft.com/office/spreadsheetml/2017/richdata2" ref="A2:AE41">
    <sortCondition ref="X1:X41"/>
  </sortState>
  <tableColumns count="32">
    <tableColumn id="3" xr3:uid="{DCEECFAA-2A9C-411C-8A34-19CF47870B2E}" name="User" dataDxfId="41"/>
    <tableColumn id="29" xr3:uid="{A9093F4D-C8A7-4996-A095-2F50BA0C06DE}" name="Age Bracket2" dataDxfId="40"/>
    <tableColumn id="4" xr3:uid="{B9F610F6-0B50-4811-AC1A-A512515BC593}" name="Gender" dataDxfId="39"/>
    <tableColumn id="25" xr3:uid="{336F00A1-B3BF-4119-9C46-6518DB035C40}" name="Marital Status" dataDxfId="38"/>
    <tableColumn id="5" xr3:uid="{CFDAA379-751B-403A-9D8B-E8D7CA8F58E7}" name="Employment Status" dataDxfId="37"/>
    <tableColumn id="6" xr3:uid="{F87BA440-43E2-44D8-94A2-5A23CD3CEC04}" name="Location of Residence" dataDxfId="36"/>
    <tableColumn id="16" xr3:uid="{9B2BCA33-88E6-45F2-A656-96EC69BFC9D6}" name="If others," dataDxfId="35"/>
    <tableColumn id="10" xr3:uid="{1978D254-D3CA-40F0-92F2-F43D9D8D3C8A}" name="Workplace Location" dataDxfId="34"/>
    <tableColumn id="17" xr3:uid="{2A990F89-5A0B-4F37-BC29-FE03A2ADE895}" name="If others,2" dataDxfId="33"/>
    <tableColumn id="12" xr3:uid="{AF753B0C-A81F-4804-9CE2-E4E26BBE361F}" name="Start of Work (time)" dataDxfId="32"/>
    <tableColumn id="13" xr3:uid="{8348383A-541F-4C88-83A7-2CB56D3BD309}" name="Time of Departure (from Home)" dataDxfId="31"/>
    <tableColumn id="1" xr3:uid="{B27A26E4-9A56-46A8-BFB6-106685EE543D}" name="Time of Arrival (at Work)" dataDxfId="30"/>
    <tableColumn id="18" xr3:uid="{04BBE2D7-1A97-4379-A92B-2B545C24216D}" name="Travel Time from Home to Work" dataDxfId="29">
      <calculatedColumnFormula>ABS(IF(Table2427245[[#This Row],[Time of Arrival (at Work)]]&lt;Table2427245[[#This Row],[Time of Departure (from Home)]],Table2427245[[#This Row],[Time of Arrival (at Work)]]+24-Table2427245[[#This Row],[Time of Departure (from Home)]],Table2427245[[#This Row],[Time of Arrival (at Work)]]-Table2427245[[#This Row],[Time of Departure (from Home)]]))</calculatedColumnFormula>
    </tableColumn>
    <tableColumn id="19" xr3:uid="{8E882507-94F7-4C9F-BD16-F67AB5FFA4AB}" name="Travel Time from Home to Work in Decimals" dataDxfId="28">
      <calculatedColumnFormula>Table2427245[[#This Row],[Travel Time from Home to Work]]*24</calculatedColumnFormula>
    </tableColumn>
    <tableColumn id="14" xr3:uid="{9A367BF6-F827-4257-A978-8847B58BC833}" name="Travel cost " dataDxfId="27"/>
    <tableColumn id="15" xr3:uid="{A080EDEB-365E-41A1-94C0-3F794B7F06DC}" name="End of Work (time)" dataDxfId="26"/>
    <tableColumn id="9" xr3:uid="{057BC3C0-60E5-4004-9143-F924BA46F69A}" name="Time of Departure (from Work)" dataDxfId="25"/>
    <tableColumn id="2" xr3:uid="{62431394-D6DD-4EAF-A356-FD701CCE827D}" name="Time of Arrival (at Home)" dataDxfId="24"/>
    <tableColumn id="21" xr3:uid="{8B8BACAB-4184-41FC-A3B2-70A47EB2202C}" name="Total Work Hours" dataDxfId="23">
      <calculatedColumnFormula>IF(Table2427245[[#This Row],[End of Work (time)]]&lt;Table2427245[[#This Row],[Start of Work (time)]],Table2427245[[#This Row],[End of Work (time)]]+24-Table2427245[[#This Row],[Start of Work (time)]],Table2427245[[#This Row],[End of Work (time)]]-Table2427245[[#This Row],[Start of Work (time)]])</calculatedColumnFormula>
    </tableColumn>
    <tableColumn id="32" xr3:uid="{03E1305D-2C42-4641-9BAA-74735CA87EC5}" name="Total Work Hours in Decimals" dataDxfId="22">
      <calculatedColumnFormula>HOUR(Table2427245[[#This Row],[Total Work Hours]])+MINUTE(Table2427245[[#This Row],[Total Work Hours]])/60</calculatedColumnFormula>
    </tableColumn>
    <tableColumn id="20" xr3:uid="{13767D5D-54FC-4BEE-8FB7-D6E7E2A4B2CA}" name="Travel Time from Work to Home" dataDxfId="21">
      <calculatedColumnFormula>(IF(Table2427245[[#This Row],[Time of Arrival (at Home)]]&lt;Table2427245[[#This Row],[Time of Departure (from Work)]],Table2427245[[#This Row],[Time of Arrival (at Home)]]+24-Table2427245[[#This Row],[Time of Departure (from Work)]],Table2427245[[#This Row],[Time of Arrival (at Home)]]-Table2427245[[#This Row],[Time of Departure (from Work)]]))</calculatedColumnFormula>
    </tableColumn>
    <tableColumn id="23" xr3:uid="{01772016-F1E6-4D71-91DD-7AC0CC3AF9FF}" name="Travel Time from Work to Home in Decimal" dataDxfId="20">
      <calculatedColumnFormula>Table2427245[[#This Row],[Travel Time from Work to Home]]*24</calculatedColumnFormula>
    </tableColumn>
    <tableColumn id="7" xr3:uid="{AA4267EB-0C20-4C5E-B13E-A5B4C7291877}" name="Travel cost" dataDxfId="19"/>
    <tableColumn id="11" xr3:uid="{7789CD5E-0C53-4940-965F-E2FC924C031D}" name="Total Travel Time" dataDxfId="18">
      <calculatedColumnFormula>Table2427245[[#This Row],[Travel Time from Work to Home]]+Table2427245[[#This Row],[Travel Time from Home to Work]]</calculatedColumnFormula>
    </tableColumn>
    <tableColumn id="24" xr3:uid="{551C98F8-2106-479A-A8EF-50B557288DC3}" name="Total travel time in hr" dataDxfId="17">
      <calculatedColumnFormula>HOUR(Table2427245[[#This Row],[Total Travel Time]])+MINUTE(Table2427245[[#This Row],[Total Travel Time]])/60</calculatedColumnFormula>
    </tableColumn>
    <tableColumn id="30" xr3:uid="{01D5087E-25C0-4923-BD4E-C744F789A299}" name="% of commute / (work + commute)" dataDxfId="16">
      <calculatedColumnFormula>Table2427245[[#This Row],[Total travel time in hr]]/(Table2427245[[#This Row],[Total travel time in hr]]+HOUR(Table2427245[[#This Row],[Total Work Hours]])+MINUTE(Table2427245[[#This Row],[Total Work Hours]])/60)</calculatedColumnFormula>
    </tableColumn>
    <tableColumn id="8" xr3:uid="{B822A6C9-68AB-43E1-9190-A4C03C902816}" name="% of commute / day" dataDxfId="15">
      <calculatedColumnFormula>Table2427245[[#This Row],[Total travel time in hr]]/24</calculatedColumnFormula>
    </tableColumn>
    <tableColumn id="22" xr3:uid="{AE3C0D05-AC1E-4A6D-92FF-44AAF96BA5F8}" name="Total travel time (hr) in a month (22 days)" dataDxfId="14">
      <calculatedColumnFormula>Table2427245[[#This Row],[Total travel time in hr]]*22</calculatedColumnFormula>
    </tableColumn>
    <tableColumn id="26" xr3:uid="{59C81327-E75E-4065-93B2-A10C301BFE88}" name="In days" dataDxfId="13">
      <calculatedColumnFormula>Table2427245[[#This Row],[Total travel time (hr) in a month (22 days)]]/24</calculatedColumnFormula>
    </tableColumn>
    <tableColumn id="27" xr3:uid="{B646FD8B-A5D7-40FA-B045-19BBC3290AD0}" name="Total Cost" dataDxfId="12">
      <calculatedColumnFormula>Table2427245[[#This Row],[Travel cost]]+Table2427245[[#This Row],[Travel cost ]]</calculatedColumnFormula>
    </tableColumn>
    <tableColumn id="28" xr3:uid="{900962D5-63C0-492F-AE01-29AC2B1418FE}" name="Total Cost in a month (22 days)" dataDxfId="11">
      <calculatedColumnFormula>Table2427245[[#This Row],[Total Cost]]*22</calculatedColumnFormula>
    </tableColumn>
    <tableColumn id="33" xr3:uid="{D846A8A3-A387-4AFB-8F52-2050688309EA}" name="The rest of the day" dataDxfId="10">
      <calculatedColumnFormula>24-Table2427245[[#This Row],[Total Work Hours in Decimals]]-Table2427245[[#This Row],[Total travel time (hr) in a month (22 days)]]/22</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8047-91FF-40E4-AE8B-88CC0699DB12}">
  <sheetPr codeName="Sheet1">
    <tabColor theme="8" tint="0.79998168889431442"/>
  </sheetPr>
  <dimension ref="A1:R2"/>
  <sheetViews>
    <sheetView workbookViewId="0">
      <selection activeCell="B12" sqref="B12"/>
    </sheetView>
  </sheetViews>
  <sheetFormatPr defaultRowHeight="15" x14ac:dyDescent="0.25"/>
  <cols>
    <col min="1" max="5" width="15.7109375" style="2" customWidth="1"/>
    <col min="6" max="6" width="18.28515625" style="2" customWidth="1"/>
    <col min="7" max="7" width="15.7109375" style="2" customWidth="1"/>
    <col min="8" max="9" width="12.28515625" style="2" customWidth="1"/>
    <col min="10" max="10" width="11" style="2" customWidth="1"/>
    <col min="11" max="11" width="19.85546875" style="2" customWidth="1"/>
    <col min="12" max="12" width="15.140625" style="2" customWidth="1"/>
    <col min="13" max="14" width="14.28515625" style="2" customWidth="1"/>
    <col min="15" max="15" width="12" style="2" bestFit="1" customWidth="1"/>
    <col min="16" max="16" width="19.42578125" style="2" customWidth="1"/>
    <col min="17" max="17" width="9.140625" style="2"/>
    <col min="18" max="18" width="25.28515625" style="2" customWidth="1"/>
    <col min="19" max="16384" width="9.140625" style="2"/>
  </cols>
  <sheetData>
    <row r="1" spans="1:18" ht="45" x14ac:dyDescent="0.25">
      <c r="A1" s="1" t="s">
        <v>1</v>
      </c>
      <c r="B1" s="1" t="s">
        <v>2</v>
      </c>
      <c r="C1" s="2" t="s">
        <v>16</v>
      </c>
      <c r="D1" s="2" t="s">
        <v>0</v>
      </c>
      <c r="E1" s="2" t="s">
        <v>17</v>
      </c>
      <c r="F1" s="2" t="s">
        <v>9</v>
      </c>
      <c r="G1" s="2" t="s">
        <v>3</v>
      </c>
      <c r="H1" s="2" t="s">
        <v>11</v>
      </c>
      <c r="I1" s="2" t="s">
        <v>10</v>
      </c>
      <c r="J1" s="2" t="s">
        <v>7</v>
      </c>
      <c r="K1" s="2" t="s">
        <v>4</v>
      </c>
      <c r="L1" s="2" t="s">
        <v>5</v>
      </c>
      <c r="M1" s="2" t="s">
        <v>6</v>
      </c>
      <c r="N1" s="2" t="s">
        <v>15</v>
      </c>
      <c r="O1" s="2" t="s">
        <v>8</v>
      </c>
      <c r="P1" s="2" t="s">
        <v>12</v>
      </c>
      <c r="Q1" s="2" t="s">
        <v>13</v>
      </c>
      <c r="R1" s="2" t="s">
        <v>14</v>
      </c>
    </row>
    <row r="2" spans="1:18" x14ac:dyDescent="0.25">
      <c r="A2" s="1"/>
      <c r="B2" s="1"/>
      <c r="C2" s="3"/>
    </row>
  </sheetData>
  <phoneticPr fontId="2" type="noConversion"/>
  <dataValidations count="2">
    <dataValidation type="list" showInputMessage="1" showErrorMessage="1" sqref="D2:E2" xr:uid="{B2CB665B-AEB6-44F4-9F94-F443784B3A84}">
      <formula1>"Male, Female, Prefer Not to Say"</formula1>
    </dataValidation>
    <dataValidation type="list" showInputMessage="1" showErrorMessage="1" sqref="H2" xr:uid="{97E810CF-7155-4138-BD06-DB152B023637}">
      <formula1>"Owned, Rent, Living with Parents"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FA815-8CEF-4A31-B398-73B24D05623A}">
  <sheetPr>
    <tabColor theme="8" tint="0.59999389629810485"/>
  </sheetPr>
  <dimension ref="A1:T21"/>
  <sheetViews>
    <sheetView workbookViewId="0">
      <pane xSplit="1" topLeftCell="B1" activePane="topRight" state="frozen"/>
      <selection pane="topRight" activeCell="M12" sqref="M12"/>
    </sheetView>
  </sheetViews>
  <sheetFormatPr defaultRowHeight="15" x14ac:dyDescent="0.25"/>
  <cols>
    <col min="1" max="1" width="32.5703125" style="2" bestFit="1" customWidth="1"/>
    <col min="2" max="2" width="16" style="2" bestFit="1" customWidth="1"/>
    <col min="3" max="3" width="12.28515625" style="2" bestFit="1" customWidth="1"/>
    <col min="4" max="4" width="18" style="2" bestFit="1" customWidth="1"/>
    <col min="5" max="5" width="16.85546875" style="2" bestFit="1" customWidth="1"/>
    <col min="6" max="6" width="15.28515625" style="2" bestFit="1" customWidth="1"/>
    <col min="7" max="7" width="15.28515625" style="2" customWidth="1"/>
    <col min="8" max="8" width="16" style="2" bestFit="1" customWidth="1"/>
    <col min="9" max="9" width="16" style="2" customWidth="1"/>
    <col min="10" max="10" width="11.7109375" style="5" customWidth="1"/>
    <col min="11" max="11" width="17" style="2" bestFit="1" customWidth="1"/>
    <col min="12" max="12" width="18.7109375" style="2" bestFit="1" customWidth="1"/>
    <col min="13" max="13" width="18.7109375" style="8" customWidth="1"/>
    <col min="14" max="14" width="12" style="2" bestFit="1" customWidth="1"/>
    <col min="15" max="15" width="12" style="5" customWidth="1"/>
    <col min="16" max="16" width="16.5703125" style="5" bestFit="1" customWidth="1"/>
    <col min="17" max="17" width="12.28515625" style="5" bestFit="1" customWidth="1"/>
    <col min="18" max="18" width="12.28515625" style="5" customWidth="1"/>
    <col min="19" max="19" width="12.28515625" style="2" customWidth="1"/>
    <col min="20" max="20" width="12" style="2" bestFit="1" customWidth="1"/>
    <col min="21" max="16384" width="9.140625" style="2"/>
  </cols>
  <sheetData>
    <row r="1" spans="1:20" ht="45" x14ac:dyDescent="0.25">
      <c r="A1" s="2" t="s">
        <v>77</v>
      </c>
      <c r="B1" s="2" t="s">
        <v>16</v>
      </c>
      <c r="C1" s="2" t="s">
        <v>0</v>
      </c>
      <c r="D1" s="2" t="s">
        <v>17</v>
      </c>
      <c r="E1" s="2" t="s">
        <v>9</v>
      </c>
      <c r="F1" s="2" t="s">
        <v>3</v>
      </c>
      <c r="G1" s="2" t="s">
        <v>74</v>
      </c>
      <c r="H1" s="2" t="s">
        <v>47</v>
      </c>
      <c r="I1" s="2" t="s">
        <v>75</v>
      </c>
      <c r="J1" s="5" t="s">
        <v>23</v>
      </c>
      <c r="K1" s="2" t="s">
        <v>20</v>
      </c>
      <c r="L1" s="2" t="s">
        <v>48</v>
      </c>
      <c r="M1" s="8" t="s">
        <v>124</v>
      </c>
      <c r="N1" s="2" t="s">
        <v>18</v>
      </c>
      <c r="O1" s="5" t="s">
        <v>24</v>
      </c>
      <c r="P1" s="5" t="s">
        <v>21</v>
      </c>
      <c r="Q1" s="5" t="s">
        <v>22</v>
      </c>
      <c r="R1" s="5" t="s">
        <v>123</v>
      </c>
      <c r="S1" s="2" t="s">
        <v>125</v>
      </c>
      <c r="T1" s="2" t="s">
        <v>19</v>
      </c>
    </row>
    <row r="2" spans="1:20" s="7" customFormat="1" x14ac:dyDescent="0.25">
      <c r="A2"/>
      <c r="B2"/>
      <c r="C2"/>
      <c r="D2"/>
      <c r="E2"/>
      <c r="F2"/>
      <c r="G2"/>
      <c r="H2"/>
      <c r="I2"/>
      <c r="J2" s="6"/>
      <c r="K2" s="6"/>
      <c r="L2" s="6"/>
      <c r="M2" s="9"/>
      <c r="N2"/>
      <c r="O2" s="6"/>
      <c r="P2" s="6"/>
      <c r="Q2" s="6"/>
      <c r="R2" s="9"/>
      <c r="S2" s="9"/>
      <c r="T2"/>
    </row>
    <row r="3" spans="1:20" s="7" customFormat="1" x14ac:dyDescent="0.25">
      <c r="A3"/>
      <c r="B3"/>
      <c r="C3"/>
      <c r="D3"/>
      <c r="E3"/>
      <c r="F3"/>
      <c r="G3"/>
      <c r="H3"/>
      <c r="I3"/>
      <c r="J3" s="6"/>
      <c r="K3" s="6"/>
      <c r="L3" s="6"/>
      <c r="M3" s="10"/>
      <c r="N3"/>
      <c r="O3" s="6"/>
      <c r="P3" s="6"/>
      <c r="Q3" s="6"/>
      <c r="R3" s="10"/>
      <c r="S3" s="4"/>
      <c r="T3"/>
    </row>
    <row r="4" spans="1:20" s="7" customFormat="1" x14ac:dyDescent="0.25">
      <c r="A4"/>
      <c r="B4"/>
      <c r="C4"/>
      <c r="D4"/>
      <c r="E4"/>
      <c r="F4"/>
      <c r="G4"/>
      <c r="H4"/>
      <c r="I4"/>
      <c r="J4" s="6"/>
      <c r="K4" s="6"/>
      <c r="L4" s="6"/>
      <c r="M4" s="10"/>
      <c r="N4"/>
      <c r="O4" s="6"/>
      <c r="P4" s="6"/>
      <c r="Q4" s="6"/>
      <c r="R4" s="10"/>
      <c r="S4" s="4"/>
      <c r="T4"/>
    </row>
    <row r="5" spans="1:20" s="7" customFormat="1" x14ac:dyDescent="0.25">
      <c r="A5"/>
      <c r="B5"/>
      <c r="C5"/>
      <c r="D5"/>
      <c r="E5"/>
      <c r="F5"/>
      <c r="G5"/>
      <c r="H5"/>
      <c r="I5"/>
      <c r="J5" s="6"/>
      <c r="K5" s="6"/>
      <c r="L5" s="6"/>
      <c r="M5" s="10"/>
      <c r="N5"/>
      <c r="O5" s="6"/>
      <c r="P5" s="6"/>
      <c r="Q5" s="6"/>
      <c r="R5" s="10"/>
      <c r="S5" s="4"/>
      <c r="T5"/>
    </row>
    <row r="6" spans="1:20" s="7" customFormat="1" x14ac:dyDescent="0.25">
      <c r="A6"/>
      <c r="B6"/>
      <c r="C6"/>
      <c r="D6"/>
      <c r="E6"/>
      <c r="F6"/>
      <c r="G6"/>
      <c r="H6"/>
      <c r="I6"/>
      <c r="J6" s="6"/>
      <c r="K6" s="6"/>
      <c r="L6" s="6"/>
      <c r="M6" s="10"/>
      <c r="N6"/>
      <c r="O6" s="6"/>
      <c r="P6" s="6"/>
      <c r="Q6" s="6"/>
      <c r="R6" s="10"/>
      <c r="S6" s="4"/>
      <c r="T6"/>
    </row>
    <row r="7" spans="1:20" s="7" customFormat="1" x14ac:dyDescent="0.25">
      <c r="A7"/>
      <c r="B7"/>
      <c r="C7"/>
      <c r="D7"/>
      <c r="E7"/>
      <c r="F7"/>
      <c r="G7"/>
      <c r="H7"/>
      <c r="I7"/>
      <c r="J7" s="6"/>
      <c r="K7" s="6"/>
      <c r="L7" s="6"/>
      <c r="M7" s="10"/>
      <c r="N7"/>
      <c r="O7" s="6"/>
      <c r="P7" s="6"/>
      <c r="Q7" s="6"/>
      <c r="R7" s="10"/>
      <c r="S7" s="4"/>
      <c r="T7"/>
    </row>
    <row r="8" spans="1:20" s="7" customFormat="1" x14ac:dyDescent="0.25">
      <c r="A8"/>
      <c r="B8"/>
      <c r="C8"/>
      <c r="D8"/>
      <c r="E8"/>
      <c r="F8"/>
      <c r="G8"/>
      <c r="H8"/>
      <c r="I8"/>
      <c r="J8" s="6"/>
      <c r="K8" s="6"/>
      <c r="L8" s="6"/>
      <c r="M8" s="10"/>
      <c r="N8"/>
      <c r="O8" s="6"/>
      <c r="P8" s="6"/>
      <c r="Q8" s="6"/>
      <c r="R8" s="10"/>
      <c r="S8" s="4"/>
      <c r="T8"/>
    </row>
    <row r="9" spans="1:20" s="7" customFormat="1" x14ac:dyDescent="0.25">
      <c r="A9"/>
      <c r="B9"/>
      <c r="C9"/>
      <c r="D9"/>
      <c r="E9"/>
      <c r="F9"/>
      <c r="G9"/>
      <c r="H9"/>
      <c r="I9"/>
      <c r="J9" s="6"/>
      <c r="K9" s="6"/>
      <c r="L9" s="6"/>
      <c r="M9" s="10"/>
      <c r="N9"/>
      <c r="O9" s="6"/>
      <c r="P9" s="6"/>
      <c r="Q9" s="6"/>
      <c r="R9" s="10"/>
      <c r="S9" s="4"/>
      <c r="T9"/>
    </row>
    <row r="10" spans="1:20" s="7" customFormat="1" x14ac:dyDescent="0.25">
      <c r="A10"/>
      <c r="B10"/>
      <c r="C10"/>
      <c r="D10"/>
      <c r="E10"/>
      <c r="F10"/>
      <c r="G10"/>
      <c r="H10"/>
      <c r="I10"/>
      <c r="J10" s="6"/>
      <c r="K10" s="6"/>
      <c r="L10" s="6"/>
      <c r="M10" s="10"/>
      <c r="N10"/>
      <c r="O10" s="6"/>
      <c r="P10" s="6"/>
      <c r="Q10" s="6"/>
      <c r="R10" s="10"/>
      <c r="S10" s="4"/>
      <c r="T10"/>
    </row>
    <row r="11" spans="1:20" s="7" customFormat="1" x14ac:dyDescent="0.25">
      <c r="A11"/>
      <c r="B11"/>
      <c r="C11"/>
      <c r="D11"/>
      <c r="E11"/>
      <c r="F11"/>
      <c r="G11"/>
      <c r="H11"/>
      <c r="I11"/>
      <c r="J11" s="6"/>
      <c r="K11" s="6"/>
      <c r="L11" s="6"/>
      <c r="M11" s="10"/>
      <c r="N11"/>
      <c r="O11" s="6"/>
      <c r="P11" s="6"/>
      <c r="Q11" s="6"/>
      <c r="R11" s="10"/>
      <c r="S11" s="4"/>
      <c r="T11"/>
    </row>
    <row r="12" spans="1:20" s="7" customFormat="1" x14ac:dyDescent="0.25">
      <c r="A12"/>
      <c r="B12"/>
      <c r="C12"/>
      <c r="D12"/>
      <c r="E12"/>
      <c r="F12"/>
      <c r="G12"/>
      <c r="H12"/>
      <c r="I12"/>
      <c r="J12" s="6"/>
      <c r="K12" s="6"/>
      <c r="L12" s="6"/>
      <c r="M12" s="10"/>
      <c r="N12"/>
      <c r="O12" s="6"/>
      <c r="P12" s="6"/>
      <c r="Q12" s="6"/>
      <c r="R12" s="10"/>
      <c r="S12" s="4"/>
      <c r="T12"/>
    </row>
    <row r="13" spans="1:20" s="7" customFormat="1" x14ac:dyDescent="0.25">
      <c r="A13"/>
      <c r="B13"/>
      <c r="C13"/>
      <c r="D13"/>
      <c r="E13"/>
      <c r="F13"/>
      <c r="G13"/>
      <c r="H13"/>
      <c r="I13"/>
      <c r="J13" s="6"/>
      <c r="K13" s="6"/>
      <c r="L13" s="6"/>
      <c r="M13" s="10"/>
      <c r="N13"/>
      <c r="O13" s="6"/>
      <c r="P13" s="6"/>
      <c r="Q13" s="6"/>
      <c r="R13" s="10"/>
      <c r="S13" s="4"/>
      <c r="T13"/>
    </row>
    <row r="14" spans="1:20" s="7" customFormat="1" x14ac:dyDescent="0.25">
      <c r="A14"/>
      <c r="B14"/>
      <c r="C14"/>
      <c r="D14"/>
      <c r="E14"/>
      <c r="F14"/>
      <c r="G14"/>
      <c r="H14"/>
      <c r="I14"/>
      <c r="J14" s="6"/>
      <c r="K14" s="6"/>
      <c r="L14" s="6"/>
      <c r="M14" s="10"/>
      <c r="N14"/>
      <c r="O14" s="6"/>
      <c r="P14" s="6"/>
      <c r="Q14" s="6"/>
      <c r="R14" s="10"/>
      <c r="S14" s="4"/>
      <c r="T14"/>
    </row>
    <row r="15" spans="1:20" s="7" customFormat="1" x14ac:dyDescent="0.25">
      <c r="A15"/>
      <c r="B15"/>
      <c r="C15"/>
      <c r="D15"/>
      <c r="E15"/>
      <c r="F15"/>
      <c r="G15"/>
      <c r="H15"/>
      <c r="I15"/>
      <c r="J15" s="6"/>
      <c r="K15" s="6"/>
      <c r="L15" s="6"/>
      <c r="M15" s="10"/>
      <c r="N15"/>
      <c r="O15" s="6"/>
      <c r="P15" s="6"/>
      <c r="Q15" s="6"/>
      <c r="R15" s="10"/>
      <c r="S15" s="4"/>
      <c r="T15"/>
    </row>
    <row r="16" spans="1:20" s="7" customFormat="1" x14ac:dyDescent="0.25">
      <c r="A16"/>
      <c r="B16"/>
      <c r="C16"/>
      <c r="D16"/>
      <c r="E16"/>
      <c r="F16"/>
      <c r="G16"/>
      <c r="H16"/>
      <c r="I16"/>
      <c r="J16" s="6"/>
      <c r="K16" s="6"/>
      <c r="L16" s="6"/>
      <c r="M16" s="10"/>
      <c r="N16"/>
      <c r="O16" s="6"/>
      <c r="P16" s="6"/>
      <c r="Q16" s="6"/>
      <c r="R16" s="10"/>
      <c r="S16" s="4"/>
      <c r="T16"/>
    </row>
    <row r="17" spans="1:20" s="7" customFormat="1" x14ac:dyDescent="0.25">
      <c r="A17"/>
      <c r="B17"/>
      <c r="C17"/>
      <c r="D17"/>
      <c r="E17"/>
      <c r="F17"/>
      <c r="G17"/>
      <c r="H17"/>
      <c r="I17"/>
      <c r="J17" s="6"/>
      <c r="K17" s="6"/>
      <c r="L17" s="6"/>
      <c r="M17" s="10"/>
      <c r="N17"/>
      <c r="O17" s="6"/>
      <c r="P17" s="6"/>
      <c r="Q17" s="6"/>
      <c r="R17" s="10"/>
      <c r="S17" s="4"/>
      <c r="T17"/>
    </row>
    <row r="18" spans="1:20" s="7" customFormat="1" x14ac:dyDescent="0.25">
      <c r="A18"/>
      <c r="B18"/>
      <c r="C18"/>
      <c r="D18"/>
      <c r="E18"/>
      <c r="F18"/>
      <c r="G18"/>
      <c r="H18"/>
      <c r="I18"/>
      <c r="J18" s="6"/>
      <c r="K18" s="6"/>
      <c r="L18" s="6"/>
      <c r="M18" s="10"/>
      <c r="N18"/>
      <c r="O18" s="6"/>
      <c r="P18" s="6"/>
      <c r="Q18" s="6"/>
      <c r="R18" s="10"/>
      <c r="S18" s="4"/>
      <c r="T18"/>
    </row>
    <row r="19" spans="1:20" s="7" customFormat="1" x14ac:dyDescent="0.25">
      <c r="A19"/>
      <c r="B19"/>
      <c r="C19"/>
      <c r="D19"/>
      <c r="E19"/>
      <c r="F19"/>
      <c r="G19"/>
      <c r="H19"/>
      <c r="I19"/>
      <c r="J19" s="6"/>
      <c r="K19" s="6"/>
      <c r="L19" s="6"/>
      <c r="M19" s="10"/>
      <c r="N19"/>
      <c r="O19" s="6"/>
      <c r="P19" s="6"/>
      <c r="Q19" s="6"/>
      <c r="R19" s="10"/>
      <c r="S19" s="4"/>
      <c r="T19"/>
    </row>
    <row r="20" spans="1:20" s="7" customFormat="1" x14ac:dyDescent="0.25">
      <c r="A20"/>
      <c r="B20"/>
      <c r="C20"/>
      <c r="D20"/>
      <c r="E20"/>
      <c r="F20"/>
      <c r="G20"/>
      <c r="H20"/>
      <c r="I20"/>
      <c r="J20" s="6"/>
      <c r="K20" s="6"/>
      <c r="L20" s="6"/>
      <c r="M20" s="10"/>
      <c r="N20"/>
      <c r="O20" s="6"/>
      <c r="P20" s="6"/>
      <c r="Q20" s="6"/>
      <c r="R20" s="10"/>
      <c r="S20" s="4"/>
      <c r="T20"/>
    </row>
    <row r="21" spans="1:20" s="7" customFormat="1" x14ac:dyDescent="0.25">
      <c r="A21"/>
      <c r="B21"/>
      <c r="C21"/>
      <c r="D21"/>
      <c r="E21"/>
      <c r="F21"/>
      <c r="G21"/>
      <c r="H21"/>
      <c r="I21"/>
      <c r="J21" s="6"/>
      <c r="K21" s="6"/>
      <c r="L21" s="6"/>
      <c r="M21" s="10"/>
      <c r="N21"/>
      <c r="O21" s="6"/>
      <c r="P21" s="6"/>
      <c r="Q21" s="6"/>
      <c r="R21" s="10"/>
      <c r="S21" s="4"/>
      <c r="T21"/>
    </row>
  </sheetData>
  <phoneticPr fontId="2" type="noConversion"/>
  <conditionalFormatting sqref="S22:S1048576 M1 S1 M22:M1048576">
    <cfRule type="top10" dxfId="179" priority="31" bottom="1" rank="5"/>
    <cfRule type="top10" dxfId="178" priority="32" rank="5"/>
  </conditionalFormatting>
  <conditionalFormatting sqref="N2:N21 T2:T21">
    <cfRule type="cellIs" dxfId="177" priority="16" operator="lessThan">
      <formula>50</formula>
    </cfRule>
    <cfRule type="cellIs" dxfId="176" priority="17" operator="greaterThan">
      <formula>100</formula>
    </cfRule>
  </conditionalFormatting>
  <conditionalFormatting sqref="M3:M21">
    <cfRule type="top10" dxfId="175" priority="235" rank="5"/>
  </conditionalFormatting>
  <conditionalFormatting sqref="S2:S21">
    <cfRule type="iconSet" priority="236">
      <iconSet iconSet="3Symbols2" reverse="1">
        <cfvo type="percent" val="0"/>
        <cfvo type="percent" val="33"/>
        <cfvo type="percent" val="67"/>
      </iconSet>
    </cfRule>
    <cfRule type="top10" dxfId="174" priority="237" bottom="1" rank="5"/>
    <cfRule type="top10" dxfId="173" priority="238" rank="5"/>
  </conditionalFormatting>
  <conditionalFormatting sqref="M2:M21">
    <cfRule type="iconSet" priority="239">
      <iconSet iconSet="3Symbols2" reverse="1">
        <cfvo type="percent" val="0"/>
        <cfvo type="percent" val="33"/>
        <cfvo type="percent" val="67"/>
      </iconSet>
    </cfRule>
    <cfRule type="top10" dxfId="172" priority="240" bottom="1" rank="5"/>
  </conditionalFormatting>
  <dataValidations xWindow="1065" yWindow="469" count="8">
    <dataValidation showInputMessage="1" showErrorMessage="1" sqref="C1 G1:G1048576 I1:I1048576" xr:uid="{98116E0F-EA64-43D7-97A2-70174DEC1E46}"/>
    <dataValidation type="list" showInputMessage="1" showErrorMessage="1" sqref="C2:C21" xr:uid="{9AA56EC3-BB02-4F0C-9818-600831AD40A5}">
      <formula1>"Male, Female, Prefer Not to Say"</formula1>
    </dataValidation>
    <dataValidation type="list" showInputMessage="1" showErrorMessage="1" sqref="D2:D21" xr:uid="{7708BC19-CDB8-4A26-8D86-1FE556B4FAD3}">
      <formula1>"Single, Married, Widowed, Separated, Divorced"</formula1>
    </dataValidation>
    <dataValidation type="decimal" showInputMessage="1" showErrorMessage="1" promptTitle="Travel Cost" prompt="Enter the cost only" sqref="N2:N21 T2:T21" xr:uid="{89D5897A-14AE-4D16-BEB4-4D29155173C6}">
      <formula1>0</formula1>
      <formula2>9999</formula2>
    </dataValidation>
    <dataValidation type="list" showInputMessage="1" showErrorMessage="1" sqref="E2:E21" xr:uid="{49A768FB-3695-469D-A5A6-3BEC3C63CE44}">
      <formula1>"Unemployed, Probationary, Regular Employee, Fixed Term/Contractual"</formula1>
    </dataValidation>
    <dataValidation type="list" showInputMessage="1" showErrorMessage="1" sqref="H2:H21 F2:F21" xr:uid="{206D3A19-08AB-418B-80B6-8D323C2CC791}">
      <formula1>"Caloocan,  Las Piñas,  Makati,  Malabon,  Mandaluyong,  Manila,  Marikina,  Muntinlupa,  Navotas,  Parañaque,  Pasay,  Pasig,  Pateros,  Quezon City,  San Juan,  Taguig,  Valenzuela, Others"</formula1>
    </dataValidation>
    <dataValidation type="list" showInputMessage="1" showErrorMessage="1" sqref="B2:B21" xr:uid="{7316F221-03ED-4FBD-BB51-9C84094D8FFC}">
      <formula1>"15-20, 21-25, 26-30, 31-35, 36-40, 41-50, 51-60, 61-65"</formula1>
    </dataValidation>
    <dataValidation showErrorMessage="1" promptTitle="Travel Cost" prompt="Enter the cost only" sqref="O1:O1048576" xr:uid="{5FBD0397-13F8-432E-B841-2EF0098B5243}"/>
  </dataValidation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38" id="{50934B4D-4415-455C-B67E-418EC959234A}">
            <x14:iconSet iconSet="3Triangles">
              <x14:cfvo type="percent">
                <xm:f>0</xm:f>
              </x14:cfvo>
              <x14:cfvo type="percent">
                <xm:f>33</xm:f>
              </x14:cfvo>
              <x14:cfvo type="percent">
                <xm:f>67</xm:f>
              </x14:cfvo>
            </x14:iconSet>
          </x14:cfRule>
          <xm:sqref>R22:S1048576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1D493-31D7-4DDD-A270-2EE65F589248}">
  <sheetPr>
    <tabColor theme="8" tint="0.39997558519241921"/>
  </sheetPr>
  <dimension ref="A1:AB24"/>
  <sheetViews>
    <sheetView workbookViewId="0">
      <pane xSplit="1" ySplit="1" topLeftCell="B2" activePane="bottomRight" state="frozen"/>
      <selection pane="topRight" activeCell="B1" sqref="B1"/>
      <selection pane="bottomLeft" activeCell="A2" sqref="A2"/>
      <selection pane="bottomRight" activeCell="G6" sqref="G6"/>
    </sheetView>
  </sheetViews>
  <sheetFormatPr defaultRowHeight="15" x14ac:dyDescent="0.25"/>
  <cols>
    <col min="1" max="1" width="32.5703125" style="13" bestFit="1" customWidth="1"/>
    <col min="2" max="15" width="9.140625" style="13"/>
    <col min="16" max="18" width="9.140625" style="43"/>
    <col min="19" max="19" width="9.42578125" style="13" bestFit="1" customWidth="1"/>
    <col min="20" max="21" width="9.140625" style="13"/>
    <col min="22" max="23" width="9.140625" style="13" customWidth="1"/>
    <col min="24" max="24" width="11.5703125" style="17" bestFit="1" customWidth="1"/>
    <col min="25" max="26" width="9.140625" style="16"/>
    <col min="27" max="16384" width="9.140625" style="13"/>
  </cols>
  <sheetData>
    <row r="1" spans="1:28" s="2" customFormat="1" ht="31.5" customHeight="1" x14ac:dyDescent="0.25">
      <c r="A1" s="2" t="s">
        <v>77</v>
      </c>
      <c r="B1" s="2" t="s">
        <v>133</v>
      </c>
      <c r="C1" s="2" t="s">
        <v>0</v>
      </c>
      <c r="D1" s="2" t="s">
        <v>17</v>
      </c>
      <c r="E1" s="2" t="s">
        <v>9</v>
      </c>
      <c r="F1" s="2" t="s">
        <v>3</v>
      </c>
      <c r="G1" s="2" t="s">
        <v>74</v>
      </c>
      <c r="H1" s="2" t="s">
        <v>47</v>
      </c>
      <c r="I1" s="2" t="s">
        <v>75</v>
      </c>
      <c r="J1" s="5" t="s">
        <v>23</v>
      </c>
      <c r="K1" s="2" t="s">
        <v>20</v>
      </c>
      <c r="L1" s="2" t="s">
        <v>48</v>
      </c>
      <c r="M1" s="8" t="s">
        <v>124</v>
      </c>
      <c r="N1" s="2" t="s">
        <v>18</v>
      </c>
      <c r="O1" s="5" t="s">
        <v>24</v>
      </c>
      <c r="P1" s="5" t="s">
        <v>21</v>
      </c>
      <c r="Q1" s="5" t="s">
        <v>22</v>
      </c>
      <c r="R1" s="5" t="s">
        <v>136</v>
      </c>
      <c r="S1" s="2" t="s">
        <v>125</v>
      </c>
      <c r="T1" s="2" t="s">
        <v>19</v>
      </c>
      <c r="U1" s="2" t="s">
        <v>126</v>
      </c>
      <c r="V1" s="2" t="s">
        <v>129</v>
      </c>
      <c r="W1" s="2" t="s">
        <v>134</v>
      </c>
      <c r="X1" s="12" t="s">
        <v>132</v>
      </c>
      <c r="Y1" s="11" t="s">
        <v>128</v>
      </c>
      <c r="Z1" s="11" t="s">
        <v>130</v>
      </c>
      <c r="AA1" s="2" t="s">
        <v>127</v>
      </c>
      <c r="AB1" s="2" t="s">
        <v>131</v>
      </c>
    </row>
    <row r="2" spans="1:28" s="20" customFormat="1" x14ac:dyDescent="0.25">
      <c r="A2" t="s">
        <v>84</v>
      </c>
      <c r="B2" t="s">
        <v>49</v>
      </c>
      <c r="C2" t="s">
        <v>50</v>
      </c>
      <c r="D2" t="s">
        <v>26</v>
      </c>
      <c r="E2" t="s">
        <v>29</v>
      </c>
      <c r="F2" t="s">
        <v>60</v>
      </c>
      <c r="G2"/>
      <c r="H2" t="s">
        <v>54</v>
      </c>
      <c r="I2"/>
      <c r="J2" s="21">
        <v>0.58333333333333337</v>
      </c>
      <c r="K2" s="14">
        <v>0.54166666666666663</v>
      </c>
      <c r="L2" s="14">
        <v>0.58333333333333337</v>
      </c>
      <c r="M2" s="29">
        <f>ABS(IF(Table24272[[#This Row],[Time of Arrival (at Work)]]&lt;Table24272[[#This Row],[Time of Departure (from Home)]],Table24272[[#This Row],[Time of Arrival (at Work)]]+24-Table24272[[#This Row],[Time of Departure (from Home)]],Table24272[[#This Row],[Time of Arrival (at Work)]]-Table24272[[#This Row],[Time of Departure (from Home)]]))</f>
        <v>4.1666666666666741E-2</v>
      </c>
      <c r="N2">
        <v>49</v>
      </c>
      <c r="O2" s="21">
        <v>0</v>
      </c>
      <c r="P2" s="44">
        <v>0</v>
      </c>
      <c r="Q2" s="44">
        <v>1.0416666666666666E-2</v>
      </c>
      <c r="R2" s="41">
        <f>IF(Table24272[[#This Row],[End of Work (time)]]&lt;Table24272[[#This Row],[Start of Work (time)]],Table24272[[#This Row],[End of Work (time)]]+24-Table24272[[#This Row],[Start of Work (time)]],Table24272[[#This Row],[End of Work (time)]]-Table24272[[#This Row],[Start of Work (time)]])</f>
        <v>23.416666666666668</v>
      </c>
      <c r="S2" s="28">
        <f>(IF(Table24272[[#This Row],[Time of Arrival (at Home)]]&lt;Table24272[[#This Row],[Time of Departure (from Work)]],Table24272[[#This Row],[Time of Arrival (at Home)]]+24-Table24272[[#This Row],[Time of Departure (from Work)]],Table24272[[#This Row],[Time of Arrival (at Home)]]-Table24272[[#This Row],[Time of Departure (from Work)]]))</f>
        <v>1.0416666666666666E-2</v>
      </c>
      <c r="T2">
        <v>0</v>
      </c>
      <c r="U2" s="15">
        <f>Table24272[[#This Row],[Travel Time2]]+Table24272[[#This Row],[Travel Time]]</f>
        <v>5.2083333333333405E-2</v>
      </c>
      <c r="V2" s="16">
        <f>HOUR(Table24272[[#This Row],[Total Travel Time]])+MINUTE(Table24272[[#This Row],[Total Travel Time]])/60</f>
        <v>1.25</v>
      </c>
      <c r="W2" s="17">
        <f>Table24272[[#This Row],[Total travel time in hr]]/(Table24272[[#This Row],[Total travel time in hr]]+HOUR(Table24272[[#This Row],[Total Work Hours]])+MINUTE(Table24272[[#This Row],[Total Work Hours]])/60)</f>
        <v>0.1111111111111111</v>
      </c>
      <c r="X2" s="18">
        <f>Table24272[[#This Row],[Total travel time in hr]]/24</f>
        <v>5.2083333333333336E-2</v>
      </c>
      <c r="Y2" s="19">
        <f>Table24272[[#This Row],[Total travel time in hr]]*261</f>
        <v>326.25</v>
      </c>
      <c r="Z2" s="19">
        <f>Table24272[[#This Row],[Total travel time (hr) in a year (261 days)]]/24</f>
        <v>13.59375</v>
      </c>
      <c r="AA2" s="20">
        <f>Table24272[[#This Row],[Travel cost]]+Table24272[[#This Row],[Travel cost ]]</f>
        <v>49</v>
      </c>
      <c r="AB2" s="22">
        <f>Table24272[[#This Row],[Total Cost]]*261</f>
        <v>12789</v>
      </c>
    </row>
    <row r="3" spans="1:28" x14ac:dyDescent="0.25">
      <c r="A3" t="s">
        <v>99</v>
      </c>
      <c r="B3" t="s">
        <v>49</v>
      </c>
      <c r="C3" t="s">
        <v>53</v>
      </c>
      <c r="D3" t="s">
        <v>25</v>
      </c>
      <c r="E3" t="s">
        <v>29</v>
      </c>
      <c r="F3" t="s">
        <v>59</v>
      </c>
      <c r="G3"/>
      <c r="H3" t="s">
        <v>62</v>
      </c>
      <c r="I3"/>
      <c r="J3" s="21">
        <v>0.58333333333333337</v>
      </c>
      <c r="K3" s="14">
        <v>0.5</v>
      </c>
      <c r="L3" s="14">
        <v>0.58333333333333337</v>
      </c>
      <c r="M3" s="29">
        <f>ABS(IF(Table24272[[#This Row],[Time of Arrival (at Work)]]&lt;Table24272[[#This Row],[Time of Departure (from Home)]],Table24272[[#This Row],[Time of Arrival (at Work)]]+24-Table24272[[#This Row],[Time of Departure (from Home)]],Table24272[[#This Row],[Time of Arrival (at Work)]]-Table24272[[#This Row],[Time of Departure (from Home)]]))</f>
        <v>8.333333333333337E-2</v>
      </c>
      <c r="N3">
        <v>55</v>
      </c>
      <c r="O3" s="21">
        <v>2.0833333333333332E-2</v>
      </c>
      <c r="P3" s="44">
        <v>4.1666666666666664E-2</v>
      </c>
      <c r="Q3" s="44">
        <v>6.25E-2</v>
      </c>
      <c r="R3" s="41">
        <f>IF(Table24272[[#This Row],[End of Work (time)]]&lt;Table24272[[#This Row],[Start of Work (time)]],Table24272[[#This Row],[End of Work (time)]]+24-Table24272[[#This Row],[Start of Work (time)]],Table24272[[#This Row],[End of Work (time)]]-Table24272[[#This Row],[Start of Work (time)]])</f>
        <v>23.4375</v>
      </c>
      <c r="S3" s="28">
        <f>(IF(Table24272[[#This Row],[Time of Arrival (at Home)]]&lt;Table24272[[#This Row],[Time of Departure (from Work)]],Table24272[[#This Row],[Time of Arrival (at Home)]]+24-Table24272[[#This Row],[Time of Departure (from Work)]],Table24272[[#This Row],[Time of Arrival (at Home)]]-Table24272[[#This Row],[Time of Departure (from Work)]]))</f>
        <v>2.0833333333333336E-2</v>
      </c>
      <c r="T3">
        <v>0</v>
      </c>
      <c r="U3" s="15">
        <f>Table24272[[#This Row],[Travel Time2]]+Table24272[[#This Row],[Travel Time]]</f>
        <v>0.10416666666666671</v>
      </c>
      <c r="V3" s="16">
        <f>HOUR(Table24272[[#This Row],[Total Travel Time]])+MINUTE(Table24272[[#This Row],[Total Travel Time]])/60</f>
        <v>2.5</v>
      </c>
      <c r="W3" s="17">
        <f>Table24272[[#This Row],[Total travel time in hr]]/(Table24272[[#This Row],[Total travel time in hr]]+HOUR(Table24272[[#This Row],[Total Work Hours]])+MINUTE(Table24272[[#This Row],[Total Work Hours]])/60)</f>
        <v>0.19230769230769232</v>
      </c>
      <c r="X3" s="18">
        <f>Table24272[[#This Row],[Total travel time in hr]]/24</f>
        <v>0.10416666666666667</v>
      </c>
      <c r="Y3" s="19">
        <f>Table24272[[#This Row],[Total travel time in hr]]*261</f>
        <v>652.5</v>
      </c>
      <c r="Z3" s="19">
        <f>Table24272[[#This Row],[Total travel time (hr) in a year (261 days)]]/24</f>
        <v>27.1875</v>
      </c>
      <c r="AA3" s="20">
        <f>Table24272[[#This Row],[Travel cost]]+Table24272[[#This Row],[Travel cost ]]</f>
        <v>55</v>
      </c>
      <c r="AB3" s="22">
        <f>Table24272[[#This Row],[Total Cost]]*261</f>
        <v>14355</v>
      </c>
    </row>
    <row r="4" spans="1:28" x14ac:dyDescent="0.25">
      <c r="A4" t="s">
        <v>90</v>
      </c>
      <c r="B4" t="s">
        <v>49</v>
      </c>
      <c r="C4" t="s">
        <v>53</v>
      </c>
      <c r="D4" t="s">
        <v>25</v>
      </c>
      <c r="E4" t="s">
        <v>27</v>
      </c>
      <c r="F4" t="s">
        <v>59</v>
      </c>
      <c r="G4"/>
      <c r="H4" t="s">
        <v>61</v>
      </c>
      <c r="I4"/>
      <c r="J4" s="21">
        <v>0.27083333333333331</v>
      </c>
      <c r="K4" s="14">
        <v>0.20833333333333334</v>
      </c>
      <c r="L4" s="14">
        <v>0.27083333333333331</v>
      </c>
      <c r="M4" s="29">
        <f>ABS(IF(Table24272[[#This Row],[Time of Arrival (at Work)]]&lt;Table24272[[#This Row],[Time of Departure (from Home)]],Table24272[[#This Row],[Time of Arrival (at Work)]]+24-Table24272[[#This Row],[Time of Departure (from Home)]],Table24272[[#This Row],[Time of Arrival (at Work)]]-Table24272[[#This Row],[Time of Departure (from Home)]]))</f>
        <v>6.2499999999999972E-2</v>
      </c>
      <c r="N4">
        <v>80</v>
      </c>
      <c r="O4" s="21">
        <v>0.60416666666666663</v>
      </c>
      <c r="P4" s="44">
        <v>0.60416666666666663</v>
      </c>
      <c r="Q4" s="44">
        <v>0.75</v>
      </c>
      <c r="R4" s="41">
        <f>IF(Table24272[[#This Row],[End of Work (time)]]&lt;Table24272[[#This Row],[Start of Work (time)]],Table24272[[#This Row],[End of Work (time)]]+24-Table24272[[#This Row],[Start of Work (time)]],Table24272[[#This Row],[End of Work (time)]]-Table24272[[#This Row],[Start of Work (time)]])</f>
        <v>0.33333333333333331</v>
      </c>
      <c r="S4" s="28">
        <f>(IF(Table24272[[#This Row],[Time of Arrival (at Home)]]&lt;Table24272[[#This Row],[Time of Departure (from Work)]],Table24272[[#This Row],[Time of Arrival (at Home)]]+24-Table24272[[#This Row],[Time of Departure (from Work)]],Table24272[[#This Row],[Time of Arrival (at Home)]]-Table24272[[#This Row],[Time of Departure (from Work)]]))</f>
        <v>0.14583333333333337</v>
      </c>
      <c r="T4">
        <v>80</v>
      </c>
      <c r="U4" s="15">
        <f>Table24272[[#This Row],[Travel Time2]]+Table24272[[#This Row],[Travel Time]]</f>
        <v>0.20833333333333334</v>
      </c>
      <c r="V4" s="16">
        <f>HOUR(Table24272[[#This Row],[Total Travel Time]])+MINUTE(Table24272[[#This Row],[Total Travel Time]])/60</f>
        <v>5</v>
      </c>
      <c r="W4" s="17">
        <f>Table24272[[#This Row],[Total travel time in hr]]/(Table24272[[#This Row],[Total travel time in hr]]+HOUR(Table24272[[#This Row],[Total Work Hours]])+MINUTE(Table24272[[#This Row],[Total Work Hours]])/60)</f>
        <v>0.38461538461538464</v>
      </c>
      <c r="X4" s="18">
        <f>Table24272[[#This Row],[Total travel time in hr]]/24</f>
        <v>0.20833333333333334</v>
      </c>
      <c r="Y4" s="19">
        <f>Table24272[[#This Row],[Total travel time in hr]]*261</f>
        <v>1305</v>
      </c>
      <c r="Z4" s="19">
        <f>Table24272[[#This Row],[Total travel time (hr) in a year (261 days)]]/24</f>
        <v>54.375</v>
      </c>
      <c r="AA4" s="20">
        <f>Table24272[[#This Row],[Travel cost]]+Table24272[[#This Row],[Travel cost ]]</f>
        <v>160</v>
      </c>
      <c r="AB4" s="22">
        <f>Table24272[[#This Row],[Total Cost]]*261</f>
        <v>41760</v>
      </c>
    </row>
    <row r="5" spans="1:28" x14ac:dyDescent="0.25">
      <c r="A5" t="s">
        <v>91</v>
      </c>
      <c r="B5" t="s">
        <v>49</v>
      </c>
      <c r="C5" t="s">
        <v>50</v>
      </c>
      <c r="D5" t="s">
        <v>25</v>
      </c>
      <c r="E5" t="s">
        <v>29</v>
      </c>
      <c r="F5" t="s">
        <v>52</v>
      </c>
      <c r="G5"/>
      <c r="H5" t="s">
        <v>52</v>
      </c>
      <c r="I5"/>
      <c r="J5" s="21">
        <v>0.41666666666666669</v>
      </c>
      <c r="K5" s="14">
        <v>0.39583333333333331</v>
      </c>
      <c r="L5" s="14">
        <v>0.41666666666666669</v>
      </c>
      <c r="M5" s="29">
        <f>ABS(IF(Table24272[[#This Row],[Time of Arrival (at Work)]]&lt;Table24272[[#This Row],[Time of Departure (from Home)]],Table24272[[#This Row],[Time of Arrival (at Work)]]+24-Table24272[[#This Row],[Time of Departure (from Home)]],Table24272[[#This Row],[Time of Arrival (at Work)]]-Table24272[[#This Row],[Time of Departure (from Home)]]))</f>
        <v>2.083333333333337E-2</v>
      </c>
      <c r="N5">
        <v>9</v>
      </c>
      <c r="O5" s="21">
        <v>0.8125</v>
      </c>
      <c r="P5" s="44">
        <v>0.77083333333333337</v>
      </c>
      <c r="Q5" s="44">
        <v>0.83333333333333337</v>
      </c>
      <c r="R5" s="41">
        <f>IF(Table24272[[#This Row],[End of Work (time)]]&lt;Table24272[[#This Row],[Start of Work (time)]],Table24272[[#This Row],[End of Work (time)]]+24-Table24272[[#This Row],[Start of Work (time)]],Table24272[[#This Row],[End of Work (time)]]-Table24272[[#This Row],[Start of Work (time)]])</f>
        <v>0.39583333333333331</v>
      </c>
      <c r="S5" s="28">
        <f>(IF(Table24272[[#This Row],[Time of Arrival (at Home)]]&lt;Table24272[[#This Row],[Time of Departure (from Work)]],Table24272[[#This Row],[Time of Arrival (at Home)]]+24-Table24272[[#This Row],[Time of Departure (from Work)]],Table24272[[#This Row],[Time of Arrival (at Home)]]-Table24272[[#This Row],[Time of Departure (from Work)]]))</f>
        <v>6.25E-2</v>
      </c>
      <c r="T5">
        <v>18</v>
      </c>
      <c r="U5" s="15">
        <f>Table24272[[#This Row],[Travel Time2]]+Table24272[[#This Row],[Travel Time]]</f>
        <v>8.333333333333337E-2</v>
      </c>
      <c r="V5" s="16">
        <f>HOUR(Table24272[[#This Row],[Total Travel Time]])+MINUTE(Table24272[[#This Row],[Total Travel Time]])/60</f>
        <v>2</v>
      </c>
      <c r="W5" s="17">
        <f>Table24272[[#This Row],[Total travel time in hr]]/(Table24272[[#This Row],[Total travel time in hr]]+HOUR(Table24272[[#This Row],[Total Work Hours]])+MINUTE(Table24272[[#This Row],[Total Work Hours]])/60)</f>
        <v>0.17391304347826086</v>
      </c>
      <c r="X5" s="18">
        <f>Table24272[[#This Row],[Total travel time in hr]]/24</f>
        <v>8.3333333333333329E-2</v>
      </c>
      <c r="Y5" s="19">
        <f>Table24272[[#This Row],[Total travel time in hr]]*261</f>
        <v>522</v>
      </c>
      <c r="Z5" s="19">
        <f>Table24272[[#This Row],[Total travel time (hr) in a year (261 days)]]/24</f>
        <v>21.75</v>
      </c>
      <c r="AA5" s="20">
        <f>Table24272[[#This Row],[Travel cost]]+Table24272[[#This Row],[Travel cost ]]</f>
        <v>27</v>
      </c>
      <c r="AB5" s="22">
        <f>Table24272[[#This Row],[Total Cost]]*261</f>
        <v>7047</v>
      </c>
    </row>
    <row r="6" spans="1:28" x14ac:dyDescent="0.25">
      <c r="A6" s="27" t="s">
        <v>78</v>
      </c>
      <c r="B6" s="13" t="s">
        <v>49</v>
      </c>
      <c r="C6" s="13" t="s">
        <v>50</v>
      </c>
      <c r="D6" s="13" t="s">
        <v>25</v>
      </c>
      <c r="E6" s="13" t="s">
        <v>29</v>
      </c>
      <c r="F6" s="13" t="s">
        <v>51</v>
      </c>
      <c r="H6" s="13" t="s">
        <v>52</v>
      </c>
      <c r="J6" s="14">
        <v>0.875</v>
      </c>
      <c r="K6" s="14">
        <v>0.875</v>
      </c>
      <c r="L6" s="14">
        <v>0.91666666666666663</v>
      </c>
      <c r="M6" s="28">
        <f>ABS(IF(Table24272[[#This Row],[Time of Arrival (at Work)]]&lt;Table24272[[#This Row],[Time of Departure (from Home)]],Table24272[[#This Row],[Time of Arrival (at Work)]]+24-Table24272[[#This Row],[Time of Departure (from Home)]],Table24272[[#This Row],[Time of Arrival (at Work)]]-Table24272[[#This Row],[Time of Departure (from Home)]]))</f>
        <v>4.166666666666663E-2</v>
      </c>
      <c r="N6" s="13">
        <v>50</v>
      </c>
      <c r="O6" s="14">
        <v>0.25</v>
      </c>
      <c r="P6" s="44">
        <v>0.25</v>
      </c>
      <c r="Q6" s="44">
        <v>0.30555555555555552</v>
      </c>
      <c r="R6" s="40">
        <f>IF(Table24272[[#This Row],[End of Work (time)]]&lt;Table24272[[#This Row],[Start of Work (time)]],Table24272[[#This Row],[End of Work (time)]]+24-Table24272[[#This Row],[Start of Work (time)]],Table24272[[#This Row],[End of Work (time)]]-Table24272[[#This Row],[Start of Work (time)]])</f>
        <v>23.375</v>
      </c>
      <c r="S6" s="28">
        <f>(IF(Table24272[[#This Row],[Time of Arrival (at Home)]]&lt;Table24272[[#This Row],[Time of Departure (from Work)]],Table24272[[#This Row],[Time of Arrival (at Home)]]+24-Table24272[[#This Row],[Time of Departure (from Work)]],Table24272[[#This Row],[Time of Arrival (at Home)]]-Table24272[[#This Row],[Time of Departure (from Work)]]))</f>
        <v>5.5555555555555525E-2</v>
      </c>
      <c r="T6">
        <v>50</v>
      </c>
      <c r="U6" s="15">
        <f>Table24272[[#This Row],[Travel Time2]]+Table24272[[#This Row],[Travel Time]]</f>
        <v>9.7222222222222154E-2</v>
      </c>
      <c r="V6" s="16">
        <f>HOUR(Table24272[[#This Row],[Total Travel Time]])+MINUTE(Table24272[[#This Row],[Total Travel Time]])/60</f>
        <v>2.3333333333333335</v>
      </c>
      <c r="W6" s="17">
        <f>Table24272[[#This Row],[Total travel time in hr]]/(Table24272[[#This Row],[Total travel time in hr]]+HOUR(Table24272[[#This Row],[Total Work Hours]])+MINUTE(Table24272[[#This Row],[Total Work Hours]])/60)</f>
        <v>0.20588235294117646</v>
      </c>
      <c r="X6" s="18">
        <f>Table24272[[#This Row],[Total travel time in hr]]/24</f>
        <v>9.7222222222222224E-2</v>
      </c>
      <c r="Y6" s="19">
        <f>Table24272[[#This Row],[Total travel time in hr]]*261</f>
        <v>609</v>
      </c>
      <c r="Z6" s="19">
        <f>Table24272[[#This Row],[Total travel time (hr) in a year (261 days)]]/24</f>
        <v>25.375</v>
      </c>
      <c r="AA6" s="20">
        <f>Table24272[[#This Row],[Travel cost]]+Table24272[[#This Row],[Travel cost ]]</f>
        <v>100</v>
      </c>
      <c r="AB6" s="20">
        <f>Table24272[[#This Row],[Total Cost]]*261</f>
        <v>26100</v>
      </c>
    </row>
    <row r="7" spans="1:28" x14ac:dyDescent="0.25">
      <c r="A7" t="s">
        <v>94</v>
      </c>
      <c r="B7" t="s">
        <v>64</v>
      </c>
      <c r="C7" t="s">
        <v>50</v>
      </c>
      <c r="D7" t="s">
        <v>25</v>
      </c>
      <c r="E7" t="s">
        <v>29</v>
      </c>
      <c r="F7" t="s">
        <v>52</v>
      </c>
      <c r="G7"/>
      <c r="H7" t="s">
        <v>54</v>
      </c>
      <c r="I7"/>
      <c r="J7" s="21">
        <v>0.5</v>
      </c>
      <c r="K7" s="14">
        <v>0.46875</v>
      </c>
      <c r="L7" s="14">
        <v>0.5</v>
      </c>
      <c r="M7" s="29">
        <f>ABS(IF(Table24272[[#This Row],[Time of Arrival (at Work)]]&lt;Table24272[[#This Row],[Time of Departure (from Home)]],Table24272[[#This Row],[Time of Arrival (at Work)]]+24-Table24272[[#This Row],[Time of Departure (from Home)]],Table24272[[#This Row],[Time of Arrival (at Work)]]-Table24272[[#This Row],[Time of Departure (from Home)]]))</f>
        <v>3.125E-2</v>
      </c>
      <c r="N7">
        <v>20</v>
      </c>
      <c r="O7" s="21">
        <v>0.83333333333333337</v>
      </c>
      <c r="P7" s="44">
        <v>0.83333333333333337</v>
      </c>
      <c r="Q7" s="44">
        <v>0.875</v>
      </c>
      <c r="R7" s="41">
        <f>IF(Table24272[[#This Row],[End of Work (time)]]&lt;Table24272[[#This Row],[Start of Work (time)]],Table24272[[#This Row],[End of Work (time)]]+24-Table24272[[#This Row],[Start of Work (time)]],Table24272[[#This Row],[End of Work (time)]]-Table24272[[#This Row],[Start of Work (time)]])</f>
        <v>0.33333333333333337</v>
      </c>
      <c r="S7" s="28">
        <f>(IF(Table24272[[#This Row],[Time of Arrival (at Home)]]&lt;Table24272[[#This Row],[Time of Departure (from Work)]],Table24272[[#This Row],[Time of Arrival (at Home)]]+24-Table24272[[#This Row],[Time of Departure (from Work)]],Table24272[[#This Row],[Time of Arrival (at Home)]]-Table24272[[#This Row],[Time of Departure (from Work)]]))</f>
        <v>4.166666666666663E-2</v>
      </c>
      <c r="T7">
        <v>20</v>
      </c>
      <c r="U7" s="15">
        <f>Table24272[[#This Row],[Travel Time2]]+Table24272[[#This Row],[Travel Time]]</f>
        <v>7.291666666666663E-2</v>
      </c>
      <c r="V7" s="16">
        <f>HOUR(Table24272[[#This Row],[Total Travel Time]])+MINUTE(Table24272[[#This Row],[Total Travel Time]])/60</f>
        <v>1.75</v>
      </c>
      <c r="W7" s="17">
        <f>Table24272[[#This Row],[Total travel time in hr]]/(Table24272[[#This Row],[Total travel time in hr]]+HOUR(Table24272[[#This Row],[Total Work Hours]])+MINUTE(Table24272[[#This Row],[Total Work Hours]])/60)</f>
        <v>0.17948717948717949</v>
      </c>
      <c r="X7" s="18">
        <f>Table24272[[#This Row],[Total travel time in hr]]/24</f>
        <v>7.2916666666666671E-2</v>
      </c>
      <c r="Y7" s="19">
        <f>Table24272[[#This Row],[Total travel time in hr]]*261</f>
        <v>456.75</v>
      </c>
      <c r="Z7" s="19">
        <f>Table24272[[#This Row],[Total travel time (hr) in a year (261 days)]]/24</f>
        <v>19.03125</v>
      </c>
      <c r="AA7" s="20">
        <f>Table24272[[#This Row],[Travel cost]]+Table24272[[#This Row],[Travel cost ]]</f>
        <v>40</v>
      </c>
      <c r="AB7" s="22">
        <f>Table24272[[#This Row],[Total Cost]]*261</f>
        <v>10440</v>
      </c>
    </row>
    <row r="8" spans="1:28" x14ac:dyDescent="0.25">
      <c r="A8" t="s">
        <v>88</v>
      </c>
      <c r="B8" t="s">
        <v>49</v>
      </c>
      <c r="C8" t="s">
        <v>53</v>
      </c>
      <c r="D8" t="s">
        <v>25</v>
      </c>
      <c r="E8" t="s">
        <v>29</v>
      </c>
      <c r="F8" t="s">
        <v>63</v>
      </c>
      <c r="G8"/>
      <c r="H8" t="s">
        <v>54</v>
      </c>
      <c r="I8"/>
      <c r="J8" s="21">
        <v>0.58333333333333337</v>
      </c>
      <c r="K8" s="14">
        <v>0.54166666666666663</v>
      </c>
      <c r="L8" s="14">
        <v>0.57291666666666663</v>
      </c>
      <c r="M8" s="29">
        <f>ABS(IF(Table24272[[#This Row],[Time of Arrival (at Work)]]&lt;Table24272[[#This Row],[Time of Departure (from Home)]],Table24272[[#This Row],[Time of Arrival (at Work)]]+24-Table24272[[#This Row],[Time of Departure (from Home)]],Table24272[[#This Row],[Time of Arrival (at Work)]]-Table24272[[#This Row],[Time of Departure (from Home)]]))</f>
        <v>3.125E-2</v>
      </c>
      <c r="N8">
        <v>43</v>
      </c>
      <c r="O8" s="21">
        <v>2.0833333333333332E-2</v>
      </c>
      <c r="P8" s="44">
        <v>2.0833333333333332E-2</v>
      </c>
      <c r="Q8" s="44">
        <v>4.1666666666666664E-2</v>
      </c>
      <c r="R8" s="41">
        <f>IF(Table24272[[#This Row],[End of Work (time)]]&lt;Table24272[[#This Row],[Start of Work (time)]],Table24272[[#This Row],[End of Work (time)]]+24-Table24272[[#This Row],[Start of Work (time)]],Table24272[[#This Row],[End of Work (time)]]-Table24272[[#This Row],[Start of Work (time)]])</f>
        <v>23.4375</v>
      </c>
      <c r="S8" s="28">
        <f>(IF(Table24272[[#This Row],[Time of Arrival (at Home)]]&lt;Table24272[[#This Row],[Time of Departure (from Work)]],Table24272[[#This Row],[Time of Arrival (at Home)]]+24-Table24272[[#This Row],[Time of Departure (from Work)]],Table24272[[#This Row],[Time of Arrival (at Home)]]-Table24272[[#This Row],[Time of Departure (from Work)]]))</f>
        <v>2.0833333333333332E-2</v>
      </c>
      <c r="T8">
        <v>0</v>
      </c>
      <c r="U8" s="15">
        <f>Table24272[[#This Row],[Travel Time2]]+Table24272[[#This Row],[Travel Time]]</f>
        <v>5.2083333333333329E-2</v>
      </c>
      <c r="V8" s="16">
        <f>HOUR(Table24272[[#This Row],[Total Travel Time]])+MINUTE(Table24272[[#This Row],[Total Travel Time]])/60</f>
        <v>1.25</v>
      </c>
      <c r="W8" s="17">
        <f>Table24272[[#This Row],[Total travel time in hr]]/(Table24272[[#This Row],[Total travel time in hr]]+HOUR(Table24272[[#This Row],[Total Work Hours]])+MINUTE(Table24272[[#This Row],[Total Work Hours]])/60)</f>
        <v>0.10638297872340426</v>
      </c>
      <c r="X8" s="18">
        <f>Table24272[[#This Row],[Total travel time in hr]]/24</f>
        <v>5.2083333333333336E-2</v>
      </c>
      <c r="Y8" s="19">
        <f>Table24272[[#This Row],[Total travel time in hr]]*261</f>
        <v>326.25</v>
      </c>
      <c r="Z8" s="19">
        <f>Table24272[[#This Row],[Total travel time (hr) in a year (261 days)]]/24</f>
        <v>13.59375</v>
      </c>
      <c r="AA8" s="20">
        <f>Table24272[[#This Row],[Travel cost]]+Table24272[[#This Row],[Travel cost ]]</f>
        <v>43</v>
      </c>
      <c r="AB8" s="22">
        <f>Table24272[[#This Row],[Total Cost]]*261</f>
        <v>11223</v>
      </c>
    </row>
    <row r="9" spans="1:28" x14ac:dyDescent="0.25">
      <c r="A9" t="s">
        <v>93</v>
      </c>
      <c r="B9" t="s">
        <v>64</v>
      </c>
      <c r="C9" t="s">
        <v>50</v>
      </c>
      <c r="D9" t="s">
        <v>25</v>
      </c>
      <c r="E9" t="s">
        <v>29</v>
      </c>
      <c r="F9" t="s">
        <v>52</v>
      </c>
      <c r="G9"/>
      <c r="H9" t="s">
        <v>54</v>
      </c>
      <c r="I9"/>
      <c r="J9" s="21">
        <v>0.79166666666666663</v>
      </c>
      <c r="K9" s="14">
        <v>0.70833333333333337</v>
      </c>
      <c r="L9" s="14">
        <v>0.79166666666666663</v>
      </c>
      <c r="M9" s="29">
        <f>ABS(IF(Table24272[[#This Row],[Time of Arrival (at Work)]]&lt;Table24272[[#This Row],[Time of Departure (from Home)]],Table24272[[#This Row],[Time of Arrival (at Work)]]+24-Table24272[[#This Row],[Time of Departure (from Home)]],Table24272[[#This Row],[Time of Arrival (at Work)]]-Table24272[[#This Row],[Time of Departure (from Home)]]))</f>
        <v>8.3333333333333259E-2</v>
      </c>
      <c r="N9">
        <v>16</v>
      </c>
      <c r="O9" s="21">
        <v>0.20833333333333334</v>
      </c>
      <c r="P9" s="44">
        <v>0.20833333333333334</v>
      </c>
      <c r="Q9" s="44">
        <v>0.25</v>
      </c>
      <c r="R9" s="41">
        <f>IF(Table24272[[#This Row],[End of Work (time)]]&lt;Table24272[[#This Row],[Start of Work (time)]],Table24272[[#This Row],[End of Work (time)]]+24-Table24272[[#This Row],[Start of Work (time)]],Table24272[[#This Row],[End of Work (time)]]-Table24272[[#This Row],[Start of Work (time)]])</f>
        <v>23.416666666666664</v>
      </c>
      <c r="S9" s="28">
        <f>(IF(Table24272[[#This Row],[Time of Arrival (at Home)]]&lt;Table24272[[#This Row],[Time of Departure (from Work)]],Table24272[[#This Row],[Time of Arrival (at Home)]]+24-Table24272[[#This Row],[Time of Departure (from Work)]],Table24272[[#This Row],[Time of Arrival (at Home)]]-Table24272[[#This Row],[Time of Departure (from Work)]]))</f>
        <v>4.1666666666666657E-2</v>
      </c>
      <c r="T9"/>
      <c r="U9" s="15">
        <f>Table24272[[#This Row],[Travel Time2]]+Table24272[[#This Row],[Travel Time]]</f>
        <v>0.12499999999999992</v>
      </c>
      <c r="V9" s="16">
        <f>HOUR(Table24272[[#This Row],[Total Travel Time]])+MINUTE(Table24272[[#This Row],[Total Travel Time]])/60</f>
        <v>3</v>
      </c>
      <c r="W9" s="17">
        <f>Table24272[[#This Row],[Total travel time in hr]]/(Table24272[[#This Row],[Total travel time in hr]]+HOUR(Table24272[[#This Row],[Total Work Hours]])+MINUTE(Table24272[[#This Row],[Total Work Hours]])/60)</f>
        <v>0.23076923076923078</v>
      </c>
      <c r="X9" s="18">
        <f>Table24272[[#This Row],[Total travel time in hr]]/24</f>
        <v>0.125</v>
      </c>
      <c r="Y9" s="19">
        <f>Table24272[[#This Row],[Total travel time in hr]]*261</f>
        <v>783</v>
      </c>
      <c r="Z9" s="19">
        <f>Table24272[[#This Row],[Total travel time (hr) in a year (261 days)]]/24</f>
        <v>32.625</v>
      </c>
      <c r="AA9" s="20">
        <f>Table24272[[#This Row],[Travel cost]]+Table24272[[#This Row],[Travel cost ]]</f>
        <v>16</v>
      </c>
      <c r="AB9" s="22">
        <f>Table24272[[#This Row],[Total Cost]]*261</f>
        <v>4176</v>
      </c>
    </row>
    <row r="10" spans="1:28" x14ac:dyDescent="0.25">
      <c r="A10" t="s">
        <v>83</v>
      </c>
      <c r="B10" t="s">
        <v>49</v>
      </c>
      <c r="C10" t="s">
        <v>53</v>
      </c>
      <c r="D10" t="s">
        <v>25</v>
      </c>
      <c r="E10" t="s">
        <v>29</v>
      </c>
      <c r="F10" t="s">
        <v>59</v>
      </c>
      <c r="G10"/>
      <c r="H10" t="s">
        <v>54</v>
      </c>
      <c r="I10"/>
      <c r="J10" s="21">
        <v>0.625</v>
      </c>
      <c r="K10" s="14">
        <v>0.5625</v>
      </c>
      <c r="L10" s="14">
        <v>0.61458333333333337</v>
      </c>
      <c r="M10" s="29">
        <f>ABS(IF(Table24272[[#This Row],[Time of Arrival (at Work)]]&lt;Table24272[[#This Row],[Time of Departure (from Home)]],Table24272[[#This Row],[Time of Arrival (at Work)]]+24-Table24272[[#This Row],[Time of Departure (from Home)]],Table24272[[#This Row],[Time of Arrival (at Work)]]-Table24272[[#This Row],[Time of Departure (from Home)]]))</f>
        <v>5.208333333333337E-2</v>
      </c>
      <c r="N10">
        <v>200</v>
      </c>
      <c r="O10" s="21">
        <v>2.0833333333333332E-2</v>
      </c>
      <c r="P10" s="44">
        <v>2.0833333333333332E-2</v>
      </c>
      <c r="Q10" s="44">
        <v>6.25E-2</v>
      </c>
      <c r="R10" s="41">
        <f>IF(Table24272[[#This Row],[End of Work (time)]]&lt;Table24272[[#This Row],[Start of Work (time)]],Table24272[[#This Row],[End of Work (time)]]+24-Table24272[[#This Row],[Start of Work (time)]],Table24272[[#This Row],[End of Work (time)]]-Table24272[[#This Row],[Start of Work (time)]])</f>
        <v>23.395833333333332</v>
      </c>
      <c r="S10" s="28">
        <f>(IF(Table24272[[#This Row],[Time of Arrival (at Home)]]&lt;Table24272[[#This Row],[Time of Departure (from Work)]],Table24272[[#This Row],[Time of Arrival (at Home)]]+24-Table24272[[#This Row],[Time of Departure (from Work)]],Table24272[[#This Row],[Time of Arrival (at Home)]]-Table24272[[#This Row],[Time of Departure (from Work)]]))</f>
        <v>4.1666666666666671E-2</v>
      </c>
      <c r="T10">
        <v>0</v>
      </c>
      <c r="U10" s="15">
        <f>Table24272[[#This Row],[Travel Time2]]+Table24272[[#This Row],[Travel Time]]</f>
        <v>9.3750000000000042E-2</v>
      </c>
      <c r="V10" s="16">
        <f>HOUR(Table24272[[#This Row],[Total Travel Time]])+MINUTE(Table24272[[#This Row],[Total Travel Time]])/60</f>
        <v>2.25</v>
      </c>
      <c r="W10" s="17">
        <f>Table24272[[#This Row],[Total travel time in hr]]/(Table24272[[#This Row],[Total travel time in hr]]+HOUR(Table24272[[#This Row],[Total Work Hours]])+MINUTE(Table24272[[#This Row],[Total Work Hours]])/60)</f>
        <v>0.19148936170212766</v>
      </c>
      <c r="X10" s="18">
        <f>Table24272[[#This Row],[Total travel time in hr]]/24</f>
        <v>9.375E-2</v>
      </c>
      <c r="Y10" s="19">
        <f>Table24272[[#This Row],[Total travel time in hr]]*261</f>
        <v>587.25</v>
      </c>
      <c r="Z10" s="19">
        <f>Table24272[[#This Row],[Total travel time (hr) in a year (261 days)]]/24</f>
        <v>24.46875</v>
      </c>
      <c r="AA10" s="20">
        <f>Table24272[[#This Row],[Travel cost]]+Table24272[[#This Row],[Travel cost ]]</f>
        <v>200</v>
      </c>
      <c r="AB10" s="22">
        <f>Table24272[[#This Row],[Total Cost]]*261</f>
        <v>52200</v>
      </c>
    </row>
    <row r="11" spans="1:28" x14ac:dyDescent="0.25">
      <c r="A11" t="s">
        <v>96</v>
      </c>
      <c r="B11" t="s">
        <v>49</v>
      </c>
      <c r="C11" t="s">
        <v>53</v>
      </c>
      <c r="D11" t="s">
        <v>25</v>
      </c>
      <c r="E11" t="s">
        <v>29</v>
      </c>
      <c r="F11" t="s">
        <v>54</v>
      </c>
      <c r="G11"/>
      <c r="H11" t="s">
        <v>54</v>
      </c>
      <c r="I11"/>
      <c r="J11" s="21">
        <v>0.41666666666666669</v>
      </c>
      <c r="K11" s="14">
        <v>0.375</v>
      </c>
      <c r="L11" s="14">
        <v>0.3888888888888889</v>
      </c>
      <c r="M11" s="29">
        <f>ABS(IF(Table24272[[#This Row],[Time of Arrival (at Work)]]&lt;Table24272[[#This Row],[Time of Departure (from Home)]],Table24272[[#This Row],[Time of Arrival (at Work)]]+24-Table24272[[#This Row],[Time of Departure (from Home)]],Table24272[[#This Row],[Time of Arrival (at Work)]]-Table24272[[#This Row],[Time of Departure (from Home)]]))</f>
        <v>1.3888888888888895E-2</v>
      </c>
      <c r="N11">
        <v>0</v>
      </c>
      <c r="O11" s="21">
        <v>0.72916666666666663</v>
      </c>
      <c r="P11" s="44">
        <v>0.75</v>
      </c>
      <c r="Q11" s="44">
        <v>0.78472222222222221</v>
      </c>
      <c r="R11" s="41">
        <f>IF(Table24272[[#This Row],[End of Work (time)]]&lt;Table24272[[#This Row],[Start of Work (time)]],Table24272[[#This Row],[End of Work (time)]]+24-Table24272[[#This Row],[Start of Work (time)]],Table24272[[#This Row],[End of Work (time)]]-Table24272[[#This Row],[Start of Work (time)]])</f>
        <v>0.31249999999999994</v>
      </c>
      <c r="S11" s="28">
        <f>(IF(Table24272[[#This Row],[Time of Arrival (at Home)]]&lt;Table24272[[#This Row],[Time of Departure (from Work)]],Table24272[[#This Row],[Time of Arrival (at Home)]]+24-Table24272[[#This Row],[Time of Departure (from Work)]],Table24272[[#This Row],[Time of Arrival (at Home)]]-Table24272[[#This Row],[Time of Departure (from Work)]]))</f>
        <v>3.472222222222221E-2</v>
      </c>
      <c r="T11">
        <v>0</v>
      </c>
      <c r="U11" s="15">
        <f>Table24272[[#This Row],[Travel Time2]]+Table24272[[#This Row],[Travel Time]]</f>
        <v>4.8611111111111105E-2</v>
      </c>
      <c r="V11" s="16">
        <f>HOUR(Table24272[[#This Row],[Total Travel Time]])+MINUTE(Table24272[[#This Row],[Total Travel Time]])/60</f>
        <v>1.1666666666666667</v>
      </c>
      <c r="W11" s="17">
        <f>Table24272[[#This Row],[Total travel time in hr]]/(Table24272[[#This Row],[Total travel time in hr]]+HOUR(Table24272[[#This Row],[Total Work Hours]])+MINUTE(Table24272[[#This Row],[Total Work Hours]])/60)</f>
        <v>0.13461538461538464</v>
      </c>
      <c r="X11" s="18">
        <f>Table24272[[#This Row],[Total travel time in hr]]/24</f>
        <v>4.8611111111111112E-2</v>
      </c>
      <c r="Y11" s="19">
        <f>Table24272[[#This Row],[Total travel time in hr]]*261</f>
        <v>304.5</v>
      </c>
      <c r="Z11" s="19">
        <f>Table24272[[#This Row],[Total travel time (hr) in a year (261 days)]]/24</f>
        <v>12.6875</v>
      </c>
      <c r="AA11" s="20">
        <f>Table24272[[#This Row],[Travel cost]]+Table24272[[#This Row],[Travel cost ]]</f>
        <v>0</v>
      </c>
      <c r="AB11" s="22">
        <f>Table24272[[#This Row],[Total Cost]]*261</f>
        <v>0</v>
      </c>
    </row>
    <row r="12" spans="1:28" x14ac:dyDescent="0.25">
      <c r="A12" t="s">
        <v>92</v>
      </c>
      <c r="B12" t="s">
        <v>49</v>
      </c>
      <c r="C12" t="s">
        <v>50</v>
      </c>
      <c r="D12" t="s">
        <v>25</v>
      </c>
      <c r="E12" t="s">
        <v>29</v>
      </c>
      <c r="F12" t="s">
        <v>52</v>
      </c>
      <c r="G12"/>
      <c r="H12" t="s">
        <v>54</v>
      </c>
      <c r="I12"/>
      <c r="J12" s="21">
        <v>0.375</v>
      </c>
      <c r="K12" s="14">
        <v>0.3125</v>
      </c>
      <c r="L12" s="14">
        <v>0.36458333333333331</v>
      </c>
      <c r="M12" s="29">
        <f>ABS(IF(Table24272[[#This Row],[Time of Arrival (at Work)]]&lt;Table24272[[#This Row],[Time of Departure (from Home)]],Table24272[[#This Row],[Time of Arrival (at Work)]]+24-Table24272[[#This Row],[Time of Departure (from Home)]],Table24272[[#This Row],[Time of Arrival (at Work)]]-Table24272[[#This Row],[Time of Departure (from Home)]]))</f>
        <v>5.2083333333333315E-2</v>
      </c>
      <c r="N12">
        <v>18</v>
      </c>
      <c r="O12" s="21">
        <v>0.79166666666666663</v>
      </c>
      <c r="P12" s="44">
        <v>0.79166666666666663</v>
      </c>
      <c r="Q12" s="44">
        <v>0.85416666666666663</v>
      </c>
      <c r="R12" s="41">
        <f>IF(Table24272[[#This Row],[End of Work (time)]]&lt;Table24272[[#This Row],[Start of Work (time)]],Table24272[[#This Row],[End of Work (time)]]+24-Table24272[[#This Row],[Start of Work (time)]],Table24272[[#This Row],[End of Work (time)]]-Table24272[[#This Row],[Start of Work (time)]])</f>
        <v>0.41666666666666663</v>
      </c>
      <c r="S12" s="28">
        <f>(IF(Table24272[[#This Row],[Time of Arrival (at Home)]]&lt;Table24272[[#This Row],[Time of Departure (from Work)]],Table24272[[#This Row],[Time of Arrival (at Home)]]+24-Table24272[[#This Row],[Time of Departure (from Work)]],Table24272[[#This Row],[Time of Arrival (at Home)]]-Table24272[[#This Row],[Time of Departure (from Work)]]))</f>
        <v>6.25E-2</v>
      </c>
      <c r="T12">
        <v>18</v>
      </c>
      <c r="U12" s="15">
        <f>Table24272[[#This Row],[Travel Time2]]+Table24272[[#This Row],[Travel Time]]</f>
        <v>0.11458333333333331</v>
      </c>
      <c r="V12" s="16">
        <f>HOUR(Table24272[[#This Row],[Total Travel Time]])+MINUTE(Table24272[[#This Row],[Total Travel Time]])/60</f>
        <v>2.75</v>
      </c>
      <c r="W12" s="17">
        <f>Table24272[[#This Row],[Total travel time in hr]]/(Table24272[[#This Row],[Total travel time in hr]]+HOUR(Table24272[[#This Row],[Total Work Hours]])+MINUTE(Table24272[[#This Row],[Total Work Hours]])/60)</f>
        <v>0.21568627450980393</v>
      </c>
      <c r="X12" s="18">
        <f>Table24272[[#This Row],[Total travel time in hr]]/24</f>
        <v>0.11458333333333333</v>
      </c>
      <c r="Y12" s="19">
        <f>Table24272[[#This Row],[Total travel time in hr]]*261</f>
        <v>717.75</v>
      </c>
      <c r="Z12" s="19">
        <f>Table24272[[#This Row],[Total travel time (hr) in a year (261 days)]]/24</f>
        <v>29.90625</v>
      </c>
      <c r="AA12" s="20">
        <f>Table24272[[#This Row],[Travel cost]]+Table24272[[#This Row],[Travel cost ]]</f>
        <v>36</v>
      </c>
      <c r="AB12" s="22">
        <f>Table24272[[#This Row],[Total Cost]]*261</f>
        <v>9396</v>
      </c>
    </row>
    <row r="13" spans="1:28" x14ac:dyDescent="0.25">
      <c r="A13" t="s">
        <v>85</v>
      </c>
      <c r="B13" t="s">
        <v>49</v>
      </c>
      <c r="C13" t="s">
        <v>50</v>
      </c>
      <c r="D13" t="s">
        <v>25</v>
      </c>
      <c r="E13" t="s">
        <v>29</v>
      </c>
      <c r="F13" t="s">
        <v>60</v>
      </c>
      <c r="G13"/>
      <c r="H13" t="s">
        <v>52</v>
      </c>
      <c r="I13"/>
      <c r="J13" s="21">
        <v>0.41666666666666669</v>
      </c>
      <c r="K13" s="14">
        <v>0.375</v>
      </c>
      <c r="L13" s="14">
        <v>0.39583333333333331</v>
      </c>
      <c r="M13" s="29">
        <f>ABS(IF(Table24272[[#This Row],[Time of Arrival (at Work)]]&lt;Table24272[[#This Row],[Time of Departure (from Home)]],Table24272[[#This Row],[Time of Arrival (at Work)]]+24-Table24272[[#This Row],[Time of Departure (from Home)]],Table24272[[#This Row],[Time of Arrival (at Work)]]-Table24272[[#This Row],[Time of Departure (from Home)]]))</f>
        <v>2.0833333333333315E-2</v>
      </c>
      <c r="N13">
        <v>13</v>
      </c>
      <c r="O13" s="21">
        <v>0.75</v>
      </c>
      <c r="P13" s="44">
        <v>0.75</v>
      </c>
      <c r="Q13" s="44">
        <v>0.83333333333333337</v>
      </c>
      <c r="R13" s="41">
        <f>IF(Table24272[[#This Row],[End of Work (time)]]&lt;Table24272[[#This Row],[Start of Work (time)]],Table24272[[#This Row],[End of Work (time)]]+24-Table24272[[#This Row],[Start of Work (time)]],Table24272[[#This Row],[End of Work (time)]]-Table24272[[#This Row],[Start of Work (time)]])</f>
        <v>0.33333333333333331</v>
      </c>
      <c r="S13" s="28">
        <f>(IF(Table24272[[#This Row],[Time of Arrival (at Home)]]&lt;Table24272[[#This Row],[Time of Departure (from Work)]],Table24272[[#This Row],[Time of Arrival (at Home)]]+24-Table24272[[#This Row],[Time of Departure (from Work)]],Table24272[[#This Row],[Time of Arrival (at Home)]]-Table24272[[#This Row],[Time of Departure (from Work)]]))</f>
        <v>8.333333333333337E-2</v>
      </c>
      <c r="T13">
        <v>13</v>
      </c>
      <c r="U13" s="15">
        <f>Table24272[[#This Row],[Travel Time2]]+Table24272[[#This Row],[Travel Time]]</f>
        <v>0.10416666666666669</v>
      </c>
      <c r="V13" s="16">
        <f>HOUR(Table24272[[#This Row],[Total Travel Time]])+MINUTE(Table24272[[#This Row],[Total Travel Time]])/60</f>
        <v>2.5</v>
      </c>
      <c r="W13" s="17">
        <f>Table24272[[#This Row],[Total travel time in hr]]/(Table24272[[#This Row],[Total travel time in hr]]+HOUR(Table24272[[#This Row],[Total Work Hours]])+MINUTE(Table24272[[#This Row],[Total Work Hours]])/60)</f>
        <v>0.23809523809523808</v>
      </c>
      <c r="X13" s="18">
        <f>Table24272[[#This Row],[Total travel time in hr]]/24</f>
        <v>0.10416666666666667</v>
      </c>
      <c r="Y13" s="19">
        <f>Table24272[[#This Row],[Total travel time in hr]]*261</f>
        <v>652.5</v>
      </c>
      <c r="Z13" s="19">
        <f>Table24272[[#This Row],[Total travel time (hr) in a year (261 days)]]/24</f>
        <v>27.1875</v>
      </c>
      <c r="AA13" s="20">
        <f>Table24272[[#This Row],[Travel cost]]+Table24272[[#This Row],[Travel cost ]]</f>
        <v>26</v>
      </c>
      <c r="AB13" s="22">
        <f>Table24272[[#This Row],[Total Cost]]*261</f>
        <v>6786</v>
      </c>
    </row>
    <row r="14" spans="1:28" x14ac:dyDescent="0.25">
      <c r="A14" t="s">
        <v>101</v>
      </c>
      <c r="B14" t="s">
        <v>49</v>
      </c>
      <c r="C14" t="s">
        <v>53</v>
      </c>
      <c r="D14" t="s">
        <v>25</v>
      </c>
      <c r="E14" t="s">
        <v>29</v>
      </c>
      <c r="F14" t="s">
        <v>52</v>
      </c>
      <c r="G14"/>
      <c r="H14" t="s">
        <v>61</v>
      </c>
      <c r="I14"/>
      <c r="J14" s="21">
        <v>0.25</v>
      </c>
      <c r="K14" s="14">
        <v>0.1875</v>
      </c>
      <c r="L14" s="14">
        <v>0.27083333333333331</v>
      </c>
      <c r="M14" s="29">
        <f>ABS(IF(Table24272[[#This Row],[Time of Arrival (at Work)]]&lt;Table24272[[#This Row],[Time of Departure (from Home)]],Table24272[[#This Row],[Time of Arrival (at Work)]]+24-Table24272[[#This Row],[Time of Departure (from Home)]],Table24272[[#This Row],[Time of Arrival (at Work)]]-Table24272[[#This Row],[Time of Departure (from Home)]]))</f>
        <v>8.3333333333333315E-2</v>
      </c>
      <c r="N14">
        <v>100</v>
      </c>
      <c r="O14" s="21">
        <v>0.6875</v>
      </c>
      <c r="P14" s="44">
        <v>0.66666666666666663</v>
      </c>
      <c r="Q14" s="44">
        <v>0.75</v>
      </c>
      <c r="R14" s="41">
        <f>IF(Table24272[[#This Row],[End of Work (time)]]&lt;Table24272[[#This Row],[Start of Work (time)]],Table24272[[#This Row],[End of Work (time)]]+24-Table24272[[#This Row],[Start of Work (time)]],Table24272[[#This Row],[End of Work (time)]]-Table24272[[#This Row],[Start of Work (time)]])</f>
        <v>0.4375</v>
      </c>
      <c r="S14" s="28">
        <f>(IF(Table24272[[#This Row],[Time of Arrival (at Home)]]&lt;Table24272[[#This Row],[Time of Departure (from Work)]],Table24272[[#This Row],[Time of Arrival (at Home)]]+24-Table24272[[#This Row],[Time of Departure (from Work)]],Table24272[[#This Row],[Time of Arrival (at Home)]]-Table24272[[#This Row],[Time of Departure (from Work)]]))</f>
        <v>8.333333333333337E-2</v>
      </c>
      <c r="T14">
        <v>100</v>
      </c>
      <c r="U14" s="15">
        <f>Table24272[[#This Row],[Travel Time2]]+Table24272[[#This Row],[Travel Time]]</f>
        <v>0.16666666666666669</v>
      </c>
      <c r="V14" s="16">
        <f>HOUR(Table24272[[#This Row],[Total Travel Time]])+MINUTE(Table24272[[#This Row],[Total Travel Time]])/60</f>
        <v>4</v>
      </c>
      <c r="W14" s="17">
        <f>Table24272[[#This Row],[Total travel time in hr]]/(Table24272[[#This Row],[Total travel time in hr]]+HOUR(Table24272[[#This Row],[Total Work Hours]])+MINUTE(Table24272[[#This Row],[Total Work Hours]])/60)</f>
        <v>0.27586206896551724</v>
      </c>
      <c r="X14" s="18">
        <f>Table24272[[#This Row],[Total travel time in hr]]/24</f>
        <v>0.16666666666666666</v>
      </c>
      <c r="Y14" s="19">
        <f>Table24272[[#This Row],[Total travel time in hr]]*261</f>
        <v>1044</v>
      </c>
      <c r="Z14" s="19">
        <f>Table24272[[#This Row],[Total travel time (hr) in a year (261 days)]]/24</f>
        <v>43.5</v>
      </c>
      <c r="AA14" s="20">
        <f>Table24272[[#This Row],[Travel cost]]+Table24272[[#This Row],[Travel cost ]]</f>
        <v>200</v>
      </c>
      <c r="AB14" s="22">
        <f>Table24272[[#This Row],[Total Cost]]*261</f>
        <v>52200</v>
      </c>
    </row>
    <row r="15" spans="1:28" x14ac:dyDescent="0.25">
      <c r="A15" t="s">
        <v>97</v>
      </c>
      <c r="B15" t="s">
        <v>49</v>
      </c>
      <c r="C15" t="s">
        <v>50</v>
      </c>
      <c r="D15" t="s">
        <v>25</v>
      </c>
      <c r="E15" t="s">
        <v>28</v>
      </c>
      <c r="F15" t="s">
        <v>52</v>
      </c>
      <c r="G15"/>
      <c r="H15" t="s">
        <v>52</v>
      </c>
      <c r="I15"/>
      <c r="J15" s="21">
        <v>0.38541666666666669</v>
      </c>
      <c r="K15" s="14">
        <v>0.36458333333333331</v>
      </c>
      <c r="L15" s="14">
        <v>0.375</v>
      </c>
      <c r="M15" s="29">
        <f>ABS(IF(Table24272[[#This Row],[Time of Arrival (at Work)]]&lt;Table24272[[#This Row],[Time of Departure (from Home)]],Table24272[[#This Row],[Time of Arrival (at Work)]]+24-Table24272[[#This Row],[Time of Departure (from Home)]],Table24272[[#This Row],[Time of Arrival (at Work)]]-Table24272[[#This Row],[Time of Departure (from Home)]]))</f>
        <v>1.0416666666666685E-2</v>
      </c>
      <c r="N15">
        <v>13</v>
      </c>
      <c r="O15" s="21">
        <v>0.83333333333333337</v>
      </c>
      <c r="P15" s="44">
        <v>0.83333333333333337</v>
      </c>
      <c r="Q15" s="44">
        <v>0.85416666666666663</v>
      </c>
      <c r="R15" s="41">
        <f>IF(Table24272[[#This Row],[End of Work (time)]]&lt;Table24272[[#This Row],[Start of Work (time)]],Table24272[[#This Row],[End of Work (time)]]+24-Table24272[[#This Row],[Start of Work (time)]],Table24272[[#This Row],[End of Work (time)]]-Table24272[[#This Row],[Start of Work (time)]])</f>
        <v>0.44791666666666669</v>
      </c>
      <c r="S15" s="28">
        <f>(IF(Table24272[[#This Row],[Time of Arrival (at Home)]]&lt;Table24272[[#This Row],[Time of Departure (from Work)]],Table24272[[#This Row],[Time of Arrival (at Home)]]+24-Table24272[[#This Row],[Time of Departure (from Work)]],Table24272[[#This Row],[Time of Arrival (at Home)]]-Table24272[[#This Row],[Time of Departure (from Work)]]))</f>
        <v>2.0833333333333259E-2</v>
      </c>
      <c r="T15">
        <v>13</v>
      </c>
      <c r="U15" s="15">
        <f>Table24272[[#This Row],[Travel Time2]]+Table24272[[#This Row],[Travel Time]]</f>
        <v>3.1249999999999944E-2</v>
      </c>
      <c r="V15" s="16">
        <f>HOUR(Table24272[[#This Row],[Total Travel Time]])+MINUTE(Table24272[[#This Row],[Total Travel Time]])/60</f>
        <v>0.75</v>
      </c>
      <c r="W15" s="17">
        <f>Table24272[[#This Row],[Total travel time in hr]]/(Table24272[[#This Row],[Total travel time in hr]]+HOUR(Table24272[[#This Row],[Total Work Hours]])+MINUTE(Table24272[[#This Row],[Total Work Hours]])/60)</f>
        <v>6.5217391304347824E-2</v>
      </c>
      <c r="X15" s="18">
        <f>Table24272[[#This Row],[Total travel time in hr]]/24</f>
        <v>3.125E-2</v>
      </c>
      <c r="Y15" s="19">
        <f>Table24272[[#This Row],[Total travel time in hr]]*261</f>
        <v>195.75</v>
      </c>
      <c r="Z15" s="19">
        <f>Table24272[[#This Row],[Total travel time (hr) in a year (261 days)]]/24</f>
        <v>8.15625</v>
      </c>
      <c r="AA15" s="20">
        <f>Table24272[[#This Row],[Travel cost]]+Table24272[[#This Row],[Travel cost ]]</f>
        <v>26</v>
      </c>
      <c r="AB15" s="22">
        <f>Table24272[[#This Row],[Total Cost]]*261</f>
        <v>6786</v>
      </c>
    </row>
    <row r="16" spans="1:28" x14ac:dyDescent="0.25">
      <c r="A16" t="s">
        <v>79</v>
      </c>
      <c r="B16" t="s">
        <v>49</v>
      </c>
      <c r="C16" t="s">
        <v>53</v>
      </c>
      <c r="D16" t="s">
        <v>25</v>
      </c>
      <c r="E16" t="s">
        <v>29</v>
      </c>
      <c r="F16" t="s">
        <v>54</v>
      </c>
      <c r="G16"/>
      <c r="H16" t="s">
        <v>54</v>
      </c>
      <c r="I16"/>
      <c r="J16" s="21">
        <v>0.5</v>
      </c>
      <c r="K16" s="14">
        <v>0.41666666666666669</v>
      </c>
      <c r="L16" s="14">
        <v>0.45833333333333331</v>
      </c>
      <c r="M16" s="29">
        <f>ABS(IF(Table24272[[#This Row],[Time of Arrival (at Work)]]&lt;Table24272[[#This Row],[Time of Departure (from Home)]],Table24272[[#This Row],[Time of Arrival (at Work)]]+24-Table24272[[#This Row],[Time of Departure (from Home)]],Table24272[[#This Row],[Time of Arrival (at Work)]]-Table24272[[#This Row],[Time of Departure (from Home)]]))</f>
        <v>4.166666666666663E-2</v>
      </c>
      <c r="N16">
        <v>160</v>
      </c>
      <c r="O16" s="21">
        <v>0.95833333333333337</v>
      </c>
      <c r="P16" s="44">
        <v>0</v>
      </c>
      <c r="Q16" s="44">
        <v>1.0416666666666666E-2</v>
      </c>
      <c r="R16" s="41">
        <f>IF(Table24272[[#This Row],[End of Work (time)]]&lt;Table24272[[#This Row],[Start of Work (time)]],Table24272[[#This Row],[End of Work (time)]]+24-Table24272[[#This Row],[Start of Work (time)]],Table24272[[#This Row],[End of Work (time)]]-Table24272[[#This Row],[Start of Work (time)]])</f>
        <v>0.45833333333333337</v>
      </c>
      <c r="S16" s="28">
        <f>(IF(Table24272[[#This Row],[Time of Arrival (at Home)]]&lt;Table24272[[#This Row],[Time of Departure (from Work)]],Table24272[[#This Row],[Time of Arrival (at Home)]]+24-Table24272[[#This Row],[Time of Departure (from Work)]],Table24272[[#This Row],[Time of Arrival (at Home)]]-Table24272[[#This Row],[Time of Departure (from Work)]]))</f>
        <v>1.0416666666666666E-2</v>
      </c>
      <c r="T16">
        <v>0</v>
      </c>
      <c r="U16" s="15">
        <f>Table24272[[#This Row],[Travel Time2]]+Table24272[[#This Row],[Travel Time]]</f>
        <v>5.2083333333333294E-2</v>
      </c>
      <c r="V16" s="16">
        <f>HOUR(Table24272[[#This Row],[Total Travel Time]])+MINUTE(Table24272[[#This Row],[Total Travel Time]])/60</f>
        <v>1.25</v>
      </c>
      <c r="W16" s="17">
        <f>Table24272[[#This Row],[Total travel time in hr]]/(Table24272[[#This Row],[Total travel time in hr]]+HOUR(Table24272[[#This Row],[Total Work Hours]])+MINUTE(Table24272[[#This Row],[Total Work Hours]])/60)</f>
        <v>0.10204081632653061</v>
      </c>
      <c r="X16" s="18">
        <f>Table24272[[#This Row],[Total travel time in hr]]/24</f>
        <v>5.2083333333333336E-2</v>
      </c>
      <c r="Y16" s="19">
        <f>Table24272[[#This Row],[Total travel time in hr]]*261</f>
        <v>326.25</v>
      </c>
      <c r="Z16" s="19">
        <f>Table24272[[#This Row],[Total travel time (hr) in a year (261 days)]]/24</f>
        <v>13.59375</v>
      </c>
      <c r="AA16" s="20">
        <f>Table24272[[#This Row],[Travel cost]]+Table24272[[#This Row],[Travel cost ]]</f>
        <v>160</v>
      </c>
      <c r="AB16" s="22">
        <f>Table24272[[#This Row],[Total Cost]]*261</f>
        <v>41760</v>
      </c>
    </row>
    <row r="17" spans="1:28" x14ac:dyDescent="0.25">
      <c r="A17" t="s">
        <v>86</v>
      </c>
      <c r="B17" t="s">
        <v>49</v>
      </c>
      <c r="C17" t="s">
        <v>53</v>
      </c>
      <c r="D17" t="s">
        <v>25</v>
      </c>
      <c r="E17" t="s">
        <v>29</v>
      </c>
      <c r="F17" t="s">
        <v>61</v>
      </c>
      <c r="G17"/>
      <c r="H17" t="s">
        <v>62</v>
      </c>
      <c r="I17"/>
      <c r="J17" s="21">
        <v>0.33333333333333331</v>
      </c>
      <c r="K17" s="14">
        <v>0.16666666666666666</v>
      </c>
      <c r="L17" s="14">
        <v>0.27083333333333331</v>
      </c>
      <c r="M17" s="29">
        <f>ABS(IF(Table24272[[#This Row],[Time of Arrival (at Work)]]&lt;Table24272[[#This Row],[Time of Departure (from Home)]],Table24272[[#This Row],[Time of Arrival (at Work)]]+24-Table24272[[#This Row],[Time of Departure (from Home)]],Table24272[[#This Row],[Time of Arrival (at Work)]]-Table24272[[#This Row],[Time of Departure (from Home)]]))</f>
        <v>0.10416666666666666</v>
      </c>
      <c r="N17">
        <v>100</v>
      </c>
      <c r="O17" s="21">
        <v>0.70833333333333337</v>
      </c>
      <c r="P17" s="44">
        <v>0.70833333333333337</v>
      </c>
      <c r="Q17" s="44">
        <v>0.875</v>
      </c>
      <c r="R17" s="41">
        <f>IF(Table24272[[#This Row],[End of Work (time)]]&lt;Table24272[[#This Row],[Start of Work (time)]],Table24272[[#This Row],[End of Work (time)]]+24-Table24272[[#This Row],[Start of Work (time)]],Table24272[[#This Row],[End of Work (time)]]-Table24272[[#This Row],[Start of Work (time)]])</f>
        <v>0.37500000000000006</v>
      </c>
      <c r="S17" s="28">
        <f>(IF(Table24272[[#This Row],[Time of Arrival (at Home)]]&lt;Table24272[[#This Row],[Time of Departure (from Work)]],Table24272[[#This Row],[Time of Arrival (at Home)]]+24-Table24272[[#This Row],[Time of Departure (from Work)]],Table24272[[#This Row],[Time of Arrival (at Home)]]-Table24272[[#This Row],[Time of Departure (from Work)]]))</f>
        <v>0.16666666666666663</v>
      </c>
      <c r="T17">
        <v>100</v>
      </c>
      <c r="U17" s="15">
        <f>Table24272[[#This Row],[Travel Time2]]+Table24272[[#This Row],[Travel Time]]</f>
        <v>0.27083333333333326</v>
      </c>
      <c r="V17" s="16">
        <f>HOUR(Table24272[[#This Row],[Total Travel Time]])+MINUTE(Table24272[[#This Row],[Total Travel Time]])/60</f>
        <v>6.5</v>
      </c>
      <c r="W17" s="17">
        <f>Table24272[[#This Row],[Total travel time in hr]]/(Table24272[[#This Row],[Total travel time in hr]]+HOUR(Table24272[[#This Row],[Total Work Hours]])+MINUTE(Table24272[[#This Row],[Total Work Hours]])/60)</f>
        <v>0.41935483870967744</v>
      </c>
      <c r="X17" s="18">
        <f>Table24272[[#This Row],[Total travel time in hr]]/24</f>
        <v>0.27083333333333331</v>
      </c>
      <c r="Y17" s="19">
        <f>Table24272[[#This Row],[Total travel time in hr]]*261</f>
        <v>1696.5</v>
      </c>
      <c r="Z17" s="19">
        <f>Table24272[[#This Row],[Total travel time (hr) in a year (261 days)]]/24</f>
        <v>70.6875</v>
      </c>
      <c r="AA17" s="20">
        <f>Table24272[[#This Row],[Travel cost]]+Table24272[[#This Row],[Travel cost ]]</f>
        <v>200</v>
      </c>
      <c r="AB17" s="22">
        <f>Table24272[[#This Row],[Total Cost]]*261</f>
        <v>52200</v>
      </c>
    </row>
    <row r="18" spans="1:28" x14ac:dyDescent="0.25">
      <c r="A18" t="s">
        <v>95</v>
      </c>
      <c r="B18" t="s">
        <v>49</v>
      </c>
      <c r="C18" t="s">
        <v>53</v>
      </c>
      <c r="D18" t="s">
        <v>25</v>
      </c>
      <c r="E18" t="s">
        <v>29</v>
      </c>
      <c r="F18" t="s">
        <v>52</v>
      </c>
      <c r="G18"/>
      <c r="H18" t="s">
        <v>52</v>
      </c>
      <c r="I18"/>
      <c r="J18" s="21">
        <v>0.33333333333333331</v>
      </c>
      <c r="K18" s="14">
        <v>0.3125</v>
      </c>
      <c r="L18" s="14">
        <v>0.32291666666666669</v>
      </c>
      <c r="M18" s="29">
        <f>ABS(IF(Table24272[[#This Row],[Time of Arrival (at Work)]]&lt;Table24272[[#This Row],[Time of Departure (from Home)]],Table24272[[#This Row],[Time of Arrival (at Work)]]+24-Table24272[[#This Row],[Time of Departure (from Home)]],Table24272[[#This Row],[Time of Arrival (at Work)]]-Table24272[[#This Row],[Time of Departure (from Home)]]))</f>
        <v>1.0416666666666685E-2</v>
      </c>
      <c r="N18">
        <v>8</v>
      </c>
      <c r="O18" s="21">
        <v>0.70833333333333337</v>
      </c>
      <c r="P18" s="44">
        <v>0.72916666666666663</v>
      </c>
      <c r="Q18" s="44">
        <v>0.79166666666666663</v>
      </c>
      <c r="R18" s="41">
        <f>IF(Table24272[[#This Row],[End of Work (time)]]&lt;Table24272[[#This Row],[Start of Work (time)]],Table24272[[#This Row],[End of Work (time)]]+24-Table24272[[#This Row],[Start of Work (time)]],Table24272[[#This Row],[End of Work (time)]]-Table24272[[#This Row],[Start of Work (time)]])</f>
        <v>0.37500000000000006</v>
      </c>
      <c r="S18" s="28">
        <f>(IF(Table24272[[#This Row],[Time of Arrival (at Home)]]&lt;Table24272[[#This Row],[Time of Departure (from Work)]],Table24272[[#This Row],[Time of Arrival (at Home)]]+24-Table24272[[#This Row],[Time of Departure (from Work)]],Table24272[[#This Row],[Time of Arrival (at Home)]]-Table24272[[#This Row],[Time of Departure (from Work)]]))</f>
        <v>6.25E-2</v>
      </c>
      <c r="T18">
        <v>8</v>
      </c>
      <c r="U18" s="15">
        <f>Table24272[[#This Row],[Travel Time2]]+Table24272[[#This Row],[Travel Time]]</f>
        <v>7.2916666666666685E-2</v>
      </c>
      <c r="V18" s="16">
        <f>HOUR(Table24272[[#This Row],[Total Travel Time]])+MINUTE(Table24272[[#This Row],[Total Travel Time]])/60</f>
        <v>1.75</v>
      </c>
      <c r="W18" s="17">
        <f>Table24272[[#This Row],[Total travel time in hr]]/(Table24272[[#This Row],[Total travel time in hr]]+HOUR(Table24272[[#This Row],[Total Work Hours]])+MINUTE(Table24272[[#This Row],[Total Work Hours]])/60)</f>
        <v>0.16279069767441862</v>
      </c>
      <c r="X18" s="18">
        <f>Table24272[[#This Row],[Total travel time in hr]]/24</f>
        <v>7.2916666666666671E-2</v>
      </c>
      <c r="Y18" s="19">
        <f>Table24272[[#This Row],[Total travel time in hr]]*261</f>
        <v>456.75</v>
      </c>
      <c r="Z18" s="19">
        <f>Table24272[[#This Row],[Total travel time (hr) in a year (261 days)]]/24</f>
        <v>19.03125</v>
      </c>
      <c r="AA18" s="20">
        <f>Table24272[[#This Row],[Travel cost]]+Table24272[[#This Row],[Travel cost ]]</f>
        <v>16</v>
      </c>
      <c r="AB18" s="22">
        <f>Table24272[[#This Row],[Total Cost]]*261</f>
        <v>4176</v>
      </c>
    </row>
    <row r="19" spans="1:28" x14ac:dyDescent="0.25">
      <c r="A19" t="s">
        <v>80</v>
      </c>
      <c r="B19" t="s">
        <v>49</v>
      </c>
      <c r="C19" t="s">
        <v>50</v>
      </c>
      <c r="D19" t="s">
        <v>25</v>
      </c>
      <c r="E19" t="s">
        <v>29</v>
      </c>
      <c r="F19" t="s">
        <v>73</v>
      </c>
      <c r="G19"/>
      <c r="H19" t="s">
        <v>54</v>
      </c>
      <c r="I19"/>
      <c r="J19" s="21">
        <v>0.58333333333333337</v>
      </c>
      <c r="K19" s="14">
        <v>0.5</v>
      </c>
      <c r="L19" s="14">
        <v>0.57291666666666663</v>
      </c>
      <c r="M19" s="29">
        <f>ABS(IF(Table24272[[#This Row],[Time of Arrival (at Work)]]&lt;Table24272[[#This Row],[Time of Departure (from Home)]],Table24272[[#This Row],[Time of Arrival (at Work)]]+24-Table24272[[#This Row],[Time of Departure (from Home)]],Table24272[[#This Row],[Time of Arrival (at Work)]]-Table24272[[#This Row],[Time of Departure (from Home)]]))</f>
        <v>7.291666666666663E-2</v>
      </c>
      <c r="N19">
        <v>80</v>
      </c>
      <c r="O19" s="21">
        <v>0</v>
      </c>
      <c r="P19" s="44">
        <v>0</v>
      </c>
      <c r="Q19" s="44">
        <v>2.0833333333333332E-2</v>
      </c>
      <c r="R19" s="41">
        <f>IF(Table24272[[#This Row],[End of Work (time)]]&lt;Table24272[[#This Row],[Start of Work (time)]],Table24272[[#This Row],[End of Work (time)]]+24-Table24272[[#This Row],[Start of Work (time)]],Table24272[[#This Row],[End of Work (time)]]-Table24272[[#This Row],[Start of Work (time)]])</f>
        <v>23.416666666666668</v>
      </c>
      <c r="S19" s="28">
        <f>(IF(Table24272[[#This Row],[Time of Arrival (at Home)]]&lt;Table24272[[#This Row],[Time of Departure (from Work)]],Table24272[[#This Row],[Time of Arrival (at Home)]]+24-Table24272[[#This Row],[Time of Departure (from Work)]],Table24272[[#This Row],[Time of Arrival (at Home)]]-Table24272[[#This Row],[Time of Departure (from Work)]]))</f>
        <v>2.0833333333333332E-2</v>
      </c>
      <c r="T19">
        <v>0</v>
      </c>
      <c r="U19" s="15">
        <f>Table24272[[#This Row],[Travel Time2]]+Table24272[[#This Row],[Travel Time]]</f>
        <v>9.3749999999999958E-2</v>
      </c>
      <c r="V19" s="16">
        <f>HOUR(Table24272[[#This Row],[Total Travel Time]])+MINUTE(Table24272[[#This Row],[Total Travel Time]])/60</f>
        <v>2.25</v>
      </c>
      <c r="W19" s="17">
        <f>Table24272[[#This Row],[Total travel time in hr]]/(Table24272[[#This Row],[Total travel time in hr]]+HOUR(Table24272[[#This Row],[Total Work Hours]])+MINUTE(Table24272[[#This Row],[Total Work Hours]])/60)</f>
        <v>0.18367346938775511</v>
      </c>
      <c r="X19" s="18">
        <f>Table24272[[#This Row],[Total travel time in hr]]/24</f>
        <v>9.375E-2</v>
      </c>
      <c r="Y19" s="19">
        <f>Table24272[[#This Row],[Total travel time in hr]]*261</f>
        <v>587.25</v>
      </c>
      <c r="Z19" s="19">
        <f>Table24272[[#This Row],[Total travel time (hr) in a year (261 days)]]/24</f>
        <v>24.46875</v>
      </c>
      <c r="AA19" s="20">
        <f>Table24272[[#This Row],[Travel cost]]+Table24272[[#This Row],[Travel cost ]]</f>
        <v>80</v>
      </c>
      <c r="AB19" s="22">
        <f>Table24272[[#This Row],[Total Cost]]*261</f>
        <v>20880</v>
      </c>
    </row>
    <row r="20" spans="1:28" x14ac:dyDescent="0.25">
      <c r="A20" t="s">
        <v>87</v>
      </c>
      <c r="B20" t="s">
        <v>49</v>
      </c>
      <c r="C20" t="s">
        <v>50</v>
      </c>
      <c r="D20" t="s">
        <v>25</v>
      </c>
      <c r="E20" t="s">
        <v>29</v>
      </c>
      <c r="F20" t="s">
        <v>51</v>
      </c>
      <c r="G20"/>
      <c r="H20" t="s">
        <v>54</v>
      </c>
      <c r="I20"/>
      <c r="J20" s="21">
        <v>0.33333333333333331</v>
      </c>
      <c r="K20" s="14">
        <v>0.25</v>
      </c>
      <c r="L20" s="14">
        <v>0.33333333333333331</v>
      </c>
      <c r="M20" s="29">
        <f>ABS(IF(Table24272[[#This Row],[Time of Arrival (at Work)]]&lt;Table24272[[#This Row],[Time of Departure (from Home)]],Table24272[[#This Row],[Time of Arrival (at Work)]]+24-Table24272[[#This Row],[Time of Departure (from Home)]],Table24272[[#This Row],[Time of Arrival (at Work)]]-Table24272[[#This Row],[Time of Departure (from Home)]]))</f>
        <v>8.3333333333333315E-2</v>
      </c>
      <c r="N20">
        <v>0</v>
      </c>
      <c r="O20" s="21">
        <v>0.75</v>
      </c>
      <c r="P20" s="44">
        <v>0.75</v>
      </c>
      <c r="Q20" s="44">
        <v>0.875</v>
      </c>
      <c r="R20" s="41">
        <f>IF(Table24272[[#This Row],[End of Work (time)]]&lt;Table24272[[#This Row],[Start of Work (time)]],Table24272[[#This Row],[End of Work (time)]]+24-Table24272[[#This Row],[Start of Work (time)]],Table24272[[#This Row],[End of Work (time)]]-Table24272[[#This Row],[Start of Work (time)]])</f>
        <v>0.41666666666666669</v>
      </c>
      <c r="S20" s="28">
        <f>(IF(Table24272[[#This Row],[Time of Arrival (at Home)]]&lt;Table24272[[#This Row],[Time of Departure (from Work)]],Table24272[[#This Row],[Time of Arrival (at Home)]]+24-Table24272[[#This Row],[Time of Departure (from Work)]],Table24272[[#This Row],[Time of Arrival (at Home)]]-Table24272[[#This Row],[Time of Departure (from Work)]]))</f>
        <v>0.125</v>
      </c>
      <c r="T20">
        <v>0</v>
      </c>
      <c r="U20" s="15">
        <f>Table24272[[#This Row],[Travel Time2]]+Table24272[[#This Row],[Travel Time]]</f>
        <v>0.20833333333333331</v>
      </c>
      <c r="V20" s="16">
        <f>HOUR(Table24272[[#This Row],[Total Travel Time]])+MINUTE(Table24272[[#This Row],[Total Travel Time]])/60</f>
        <v>5</v>
      </c>
      <c r="W20" s="17">
        <f>Table24272[[#This Row],[Total travel time in hr]]/(Table24272[[#This Row],[Total travel time in hr]]+HOUR(Table24272[[#This Row],[Total Work Hours]])+MINUTE(Table24272[[#This Row],[Total Work Hours]])/60)</f>
        <v>0.33333333333333331</v>
      </c>
      <c r="X20" s="18">
        <f>Table24272[[#This Row],[Total travel time in hr]]/24</f>
        <v>0.20833333333333334</v>
      </c>
      <c r="Y20" s="19">
        <f>Table24272[[#This Row],[Total travel time in hr]]*261</f>
        <v>1305</v>
      </c>
      <c r="Z20" s="19">
        <f>Table24272[[#This Row],[Total travel time (hr) in a year (261 days)]]/24</f>
        <v>54.375</v>
      </c>
      <c r="AA20" s="20">
        <f>Table24272[[#This Row],[Travel cost]]+Table24272[[#This Row],[Travel cost ]]</f>
        <v>0</v>
      </c>
      <c r="AB20" s="22">
        <f>Table24272[[#This Row],[Total Cost]]*261</f>
        <v>0</v>
      </c>
    </row>
    <row r="21" spans="1:28" x14ac:dyDescent="0.25">
      <c r="A21" t="s">
        <v>98</v>
      </c>
      <c r="B21" t="s">
        <v>64</v>
      </c>
      <c r="C21" t="s">
        <v>76</v>
      </c>
      <c r="D21" t="s">
        <v>25</v>
      </c>
      <c r="E21" t="s">
        <v>27</v>
      </c>
      <c r="F21" t="s">
        <v>59</v>
      </c>
      <c r="G21"/>
      <c r="H21" t="s">
        <v>65</v>
      </c>
      <c r="I21"/>
      <c r="J21" s="21">
        <v>0.33333333333333331</v>
      </c>
      <c r="K21" s="14">
        <v>0.29166666666666669</v>
      </c>
      <c r="L21" s="14">
        <v>0.3263888888888889</v>
      </c>
      <c r="M21" s="29">
        <f>ABS(IF(Table24272[[#This Row],[Time of Arrival (at Work)]]&lt;Table24272[[#This Row],[Time of Departure (from Home)]],Table24272[[#This Row],[Time of Arrival (at Work)]]+24-Table24272[[#This Row],[Time of Departure (from Home)]],Table24272[[#This Row],[Time of Arrival (at Work)]]-Table24272[[#This Row],[Time of Departure (from Home)]]))</f>
        <v>3.472222222222221E-2</v>
      </c>
      <c r="N21">
        <v>60</v>
      </c>
      <c r="O21" s="21">
        <v>0.68055555555555547</v>
      </c>
      <c r="P21" s="44">
        <v>0.6875</v>
      </c>
      <c r="Q21" s="44">
        <v>0.72916666666666663</v>
      </c>
      <c r="R21" s="41">
        <f>IF(Table24272[[#This Row],[End of Work (time)]]&lt;Table24272[[#This Row],[Start of Work (time)]],Table24272[[#This Row],[End of Work (time)]]+24-Table24272[[#This Row],[Start of Work (time)]],Table24272[[#This Row],[End of Work (time)]]-Table24272[[#This Row],[Start of Work (time)]])</f>
        <v>0.34722222222222215</v>
      </c>
      <c r="S21" s="28">
        <f>(IF(Table24272[[#This Row],[Time of Arrival (at Home)]]&lt;Table24272[[#This Row],[Time of Departure (from Work)]],Table24272[[#This Row],[Time of Arrival (at Home)]]+24-Table24272[[#This Row],[Time of Departure (from Work)]],Table24272[[#This Row],[Time of Arrival (at Home)]]-Table24272[[#This Row],[Time of Departure (from Work)]]))</f>
        <v>4.166666666666663E-2</v>
      </c>
      <c r="T21">
        <v>60</v>
      </c>
      <c r="U21" s="15">
        <f>Table24272[[#This Row],[Travel Time2]]+Table24272[[#This Row],[Travel Time]]</f>
        <v>7.638888888888884E-2</v>
      </c>
      <c r="V21" s="16">
        <f>HOUR(Table24272[[#This Row],[Total Travel Time]])+MINUTE(Table24272[[#This Row],[Total Travel Time]])/60</f>
        <v>1.8333333333333335</v>
      </c>
      <c r="W21" s="17">
        <f>Table24272[[#This Row],[Total travel time in hr]]/(Table24272[[#This Row],[Total travel time in hr]]+HOUR(Table24272[[#This Row],[Total Work Hours]])+MINUTE(Table24272[[#This Row],[Total Work Hours]])/60)</f>
        <v>0.18032786885245902</v>
      </c>
      <c r="X21" s="18">
        <f>Table24272[[#This Row],[Total travel time in hr]]/24</f>
        <v>7.6388888888888895E-2</v>
      </c>
      <c r="Y21" s="19">
        <f>Table24272[[#This Row],[Total travel time in hr]]*261</f>
        <v>478.50000000000006</v>
      </c>
      <c r="Z21" s="19">
        <f>Table24272[[#This Row],[Total travel time (hr) in a year (261 days)]]/24</f>
        <v>19.937500000000004</v>
      </c>
      <c r="AA21" s="20">
        <f>Table24272[[#This Row],[Travel cost]]+Table24272[[#This Row],[Travel cost ]]</f>
        <v>120</v>
      </c>
      <c r="AB21" s="22">
        <f>Table24272[[#This Row],[Total Cost]]*261</f>
        <v>31320</v>
      </c>
    </row>
    <row r="22" spans="1:28" x14ac:dyDescent="0.25">
      <c r="A22" s="31"/>
      <c r="B22" s="31"/>
      <c r="C22" s="31"/>
      <c r="D22" s="31"/>
      <c r="E22" s="31"/>
      <c r="F22" s="31"/>
      <c r="G22" s="31"/>
      <c r="H22" s="31"/>
      <c r="I22" s="31"/>
      <c r="J22" s="32"/>
      <c r="K22" s="33"/>
      <c r="L22" s="33"/>
      <c r="M22" s="29"/>
      <c r="N22" s="31"/>
      <c r="O22" s="32"/>
      <c r="P22" s="46"/>
      <c r="Q22" s="46"/>
      <c r="R22" s="42"/>
      <c r="S22" s="30"/>
      <c r="T22" s="31"/>
      <c r="U22" s="29"/>
      <c r="V22" s="34"/>
      <c r="W22" s="35"/>
      <c r="X22" s="36"/>
      <c r="Y22" s="36"/>
      <c r="Z22" s="36"/>
      <c r="AA22" s="37"/>
      <c r="AB22" s="38"/>
    </row>
    <row r="23" spans="1:28" s="39" customFormat="1" x14ac:dyDescent="0.25">
      <c r="A23" s="13" t="s">
        <v>135</v>
      </c>
      <c r="B23" s="13"/>
      <c r="C23" s="13"/>
      <c r="D23" s="13"/>
      <c r="E23" s="13"/>
      <c r="F23" s="13"/>
      <c r="G23" s="13"/>
      <c r="H23" s="13"/>
      <c r="I23" s="13"/>
      <c r="J23" s="13"/>
      <c r="K23" s="13"/>
      <c r="L23" s="13"/>
      <c r="M23" s="13"/>
      <c r="N23" s="13"/>
      <c r="O23" s="13"/>
      <c r="P23" s="43"/>
      <c r="Q23" s="43"/>
      <c r="R23" s="43"/>
      <c r="S23" s="13"/>
      <c r="T23" s="13"/>
      <c r="U23" s="23">
        <f>AVERAGE(Table24272[Total Travel Time])</f>
        <v>0.10642361111111112</v>
      </c>
      <c r="V23" s="24">
        <f>AVERAGE(Table24272[Total travel time in hr])</f>
        <v>2.5541666666666667</v>
      </c>
      <c r="W23" s="25">
        <f>AVERAGE(Table24272[% of commute / work + commute])</f>
        <v>0.20434778584550167</v>
      </c>
      <c r="X23" s="25">
        <f>AVERAGE(Table24272[% of commute / day])</f>
        <v>0.10642361111111112</v>
      </c>
      <c r="Y23" s="26">
        <f>AVERAGE(Table24272[Total travel time (hr) in a year (261 days)])</f>
        <v>666.63750000000005</v>
      </c>
      <c r="Z23" s="26">
        <f>AVERAGE(Table24272[In days])</f>
        <v>27.776562500000001</v>
      </c>
      <c r="AA23" s="26">
        <f>AVERAGE(Table24272[Total Cost])</f>
        <v>77.7</v>
      </c>
      <c r="AB23" s="26">
        <f>AVERAGE(Table24272[Total Cost in a year (261 days)])</f>
        <v>20279.7</v>
      </c>
    </row>
    <row r="24" spans="1:28" s="39" customFormat="1" x14ac:dyDescent="0.25">
      <c r="A24" s="13"/>
      <c r="B24" s="13"/>
      <c r="C24" s="13"/>
      <c r="D24" s="13"/>
      <c r="E24" s="13"/>
      <c r="F24" s="13"/>
      <c r="G24" s="13"/>
      <c r="H24" s="13"/>
      <c r="I24" s="13"/>
      <c r="J24" s="13"/>
      <c r="K24" s="13"/>
      <c r="L24" s="13"/>
      <c r="M24" s="13"/>
      <c r="N24" s="13"/>
      <c r="O24" s="13"/>
      <c r="P24" s="43"/>
      <c r="Q24" s="43"/>
      <c r="R24" s="43"/>
      <c r="S24" s="13"/>
      <c r="T24" s="13"/>
      <c r="U24" s="13"/>
      <c r="V24" s="13"/>
      <c r="W24" s="13"/>
      <c r="X24" s="17"/>
      <c r="Y24" s="16"/>
      <c r="Z24" s="16"/>
      <c r="AA24" s="13"/>
      <c r="AB24" s="13"/>
    </row>
  </sheetData>
  <conditionalFormatting sqref="Q2:Q21">
    <cfRule type="cellIs" dxfId="152" priority="4" operator="greaterThan">
      <formula>0.916666666667</formula>
    </cfRule>
    <cfRule type="cellIs" dxfId="151" priority="5" operator="lessThan">
      <formula>0.25</formula>
    </cfRule>
    <cfRule type="cellIs" dxfId="150" priority="6" operator="greaterThan">
      <formula>0.916666666667</formula>
    </cfRule>
  </conditionalFormatting>
  <conditionalFormatting sqref="P2:P21">
    <cfRule type="cellIs" dxfId="149" priority="3" operator="lessThan">
      <formula>0.25</formula>
    </cfRule>
  </conditionalFormatting>
  <conditionalFormatting sqref="O3:O21">
    <cfRule type="cellIs" dxfId="148" priority="17" operator="lessThan">
      <formula>0.25</formula>
    </cfRule>
    <cfRule type="cellIs" dxfId="147" priority="18" operator="greaterThan">
      <formula>0.916666666667</formula>
    </cfRule>
  </conditionalFormatting>
  <conditionalFormatting sqref="N2:N21 T2:T21">
    <cfRule type="cellIs" dxfId="146" priority="19" operator="lessThanOrEqual">
      <formula>50</formula>
    </cfRule>
    <cfRule type="cellIs" dxfId="145" priority="20" operator="greaterThanOrEqual">
      <formula>100</formula>
    </cfRule>
  </conditionalFormatting>
  <conditionalFormatting sqref="Y2:Y21">
    <cfRule type="top10" dxfId="144" priority="629" rank="10"/>
  </conditionalFormatting>
  <conditionalFormatting sqref="Z2:Z21">
    <cfRule type="top10" dxfId="143" priority="630" rank="10"/>
  </conditionalFormatting>
  <conditionalFormatting sqref="AA2:AA21">
    <cfRule type="top10" dxfId="142" priority="631" percent="1" rank="10"/>
  </conditionalFormatting>
  <conditionalFormatting sqref="AB2:AB21">
    <cfRule type="top10" dxfId="141" priority="632" percent="1" rank="10"/>
  </conditionalFormatting>
  <conditionalFormatting sqref="S2:S21">
    <cfRule type="top10" dxfId="140" priority="633" bottom="1" rank="5"/>
    <cfRule type="top10" dxfId="139" priority="634" rank="5"/>
    <cfRule type="iconSet" priority="635">
      <iconSet iconSet="3Symbols2" reverse="1">
        <cfvo type="percent" val="0"/>
        <cfvo type="percent" val="33"/>
        <cfvo type="percent" val="67"/>
      </iconSet>
    </cfRule>
  </conditionalFormatting>
  <conditionalFormatting sqref="M2:M21">
    <cfRule type="top10" dxfId="138" priority="636" rank="10"/>
    <cfRule type="iconSet" priority="637">
      <iconSet iconSet="3Symbols2" reverse="1">
        <cfvo type="percent" val="0"/>
        <cfvo type="percent" val="33"/>
        <cfvo type="percent" val="67"/>
      </iconSet>
    </cfRule>
    <cfRule type="top10" dxfId="137" priority="638" bottom="1" rank="5"/>
  </conditionalFormatting>
  <conditionalFormatting sqref="U2:U21">
    <cfRule type="aboveAverage" dxfId="136" priority="639" aboveAverage="0"/>
    <cfRule type="aboveAverage" dxfId="135" priority="640"/>
  </conditionalFormatting>
  <dataValidations count="8">
    <dataValidation showErrorMessage="1" promptTitle="Travel Cost" prompt="Enter the cost only" sqref="O1 O3:O22 U2:W22" xr:uid="{74F2688D-F6C4-40CA-B6AC-6B525E01D064}"/>
    <dataValidation showInputMessage="1" showErrorMessage="1" sqref="C1 G1:G22 I1:I22" xr:uid="{34A2FA58-C889-495F-882D-FB1B603C4D87}"/>
    <dataValidation type="list" showInputMessage="1" showErrorMessage="1" sqref="B2:B22" xr:uid="{09EDCE2B-C971-4A36-8327-34DD0095B1AF}">
      <formula1>"15-20, 21-25, 26-30, 31-35, 36-40, 41-50, 51-60, 61-65"</formula1>
    </dataValidation>
    <dataValidation type="list" showInputMessage="1" showErrorMessage="1" sqref="H2:H22 F2:F22" xr:uid="{96C4A0EF-9D36-4A73-BD3A-19EBB635F98D}">
      <formula1>"Caloocan,  Las Piñas,  Makati,  Malabon,  Mandaluyong,  Manila,  Marikina,  Muntinlupa,  Navotas,  Parañaque,  Pasay,  Pasig,  Pateros,  Quezon City,  San Juan,  Taguig,  Valenzuela, Others"</formula1>
    </dataValidation>
    <dataValidation type="list" showInputMessage="1" showErrorMessage="1" sqref="E2:E22" xr:uid="{B3E9E519-5479-46D1-A885-E03079F7D964}">
      <formula1>"Unemployed, Probationary, Regular Employee, Fixed Term/Contractual"</formula1>
    </dataValidation>
    <dataValidation type="decimal" showInputMessage="1" showErrorMessage="1" promptTitle="Travel Cost" prompt="Enter the cost only" sqref="N2:N22 T2:T22" xr:uid="{3DE3BF87-6397-4E80-BC8A-125190D0DFA1}">
      <formula1>0</formula1>
      <formula2>9999</formula2>
    </dataValidation>
    <dataValidation type="list" showInputMessage="1" showErrorMessage="1" sqref="D2:D22" xr:uid="{3D0A7AC7-A01D-4684-805B-BA9B32321200}">
      <formula1>"Single, Married, Widowed, Separated, Divorced"</formula1>
    </dataValidation>
    <dataValidation type="list" showInputMessage="1" showErrorMessage="1" sqref="C2:C22" xr:uid="{44A128CE-12CD-4844-AFCB-E9F195164448}">
      <formula1>"Male, Female, Prefer Not to Say"</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665BB-8233-4B83-8C35-EB70ED922B94}">
  <sheetPr>
    <tabColor theme="8" tint="0.39997558519241921"/>
  </sheetPr>
  <dimension ref="A1:AB45"/>
  <sheetViews>
    <sheetView workbookViewId="0">
      <pane xSplit="1" ySplit="1" topLeftCell="L3" activePane="bottomRight" state="frozen"/>
      <selection pane="topRight" activeCell="B1" sqref="B1"/>
      <selection pane="bottomLeft" activeCell="A2" sqref="A2"/>
      <selection pane="bottomRight" activeCell="O22" sqref="O22"/>
    </sheetView>
  </sheetViews>
  <sheetFormatPr defaultRowHeight="15" x14ac:dyDescent="0.25"/>
  <cols>
    <col min="1" max="1" width="32.5703125" style="13" bestFit="1" customWidth="1"/>
    <col min="2" max="15" width="9.140625" style="13"/>
    <col min="16" max="18" width="9.140625" style="43"/>
    <col min="19" max="19" width="9.42578125" style="13" bestFit="1" customWidth="1"/>
    <col min="20" max="21" width="9.140625" style="13"/>
    <col min="22" max="22" width="0" style="13" hidden="1" customWidth="1"/>
    <col min="23" max="23" width="9.140625" style="13"/>
    <col min="24" max="24" width="11.5703125" style="17" bestFit="1" customWidth="1"/>
    <col min="25" max="26" width="9.140625" style="16"/>
    <col min="27" max="27" width="10.5703125" style="13" bestFit="1" customWidth="1"/>
    <col min="28" max="28" width="13.28515625" style="13" bestFit="1" customWidth="1"/>
    <col min="29" max="16384" width="9.140625" style="13"/>
  </cols>
  <sheetData>
    <row r="1" spans="1:28" s="2" customFormat="1" ht="31.5" customHeight="1" x14ac:dyDescent="0.25">
      <c r="A1" s="2" t="s">
        <v>77</v>
      </c>
      <c r="B1" s="2" t="s">
        <v>133</v>
      </c>
      <c r="C1" s="2" t="s">
        <v>0</v>
      </c>
      <c r="D1" s="2" t="s">
        <v>17</v>
      </c>
      <c r="E1" s="2" t="s">
        <v>9</v>
      </c>
      <c r="F1" s="2" t="s">
        <v>3</v>
      </c>
      <c r="G1" s="2" t="s">
        <v>74</v>
      </c>
      <c r="H1" s="2" t="s">
        <v>47</v>
      </c>
      <c r="I1" s="2" t="s">
        <v>75</v>
      </c>
      <c r="J1" s="5" t="s">
        <v>23</v>
      </c>
      <c r="K1" s="2" t="s">
        <v>20</v>
      </c>
      <c r="L1" s="2" t="s">
        <v>48</v>
      </c>
      <c r="M1" s="8" t="s">
        <v>124</v>
      </c>
      <c r="N1" s="2" t="s">
        <v>18</v>
      </c>
      <c r="O1" s="5" t="s">
        <v>24</v>
      </c>
      <c r="P1" s="5" t="s">
        <v>21</v>
      </c>
      <c r="Q1" s="5" t="s">
        <v>22</v>
      </c>
      <c r="R1" s="5" t="s">
        <v>136</v>
      </c>
      <c r="S1" s="2" t="s">
        <v>125</v>
      </c>
      <c r="T1" s="2" t="s">
        <v>19</v>
      </c>
      <c r="U1" s="2" t="s">
        <v>126</v>
      </c>
      <c r="V1" s="2" t="s">
        <v>129</v>
      </c>
      <c r="W1" s="2" t="s">
        <v>134</v>
      </c>
      <c r="X1" s="12" t="s">
        <v>132</v>
      </c>
      <c r="Y1" s="11" t="s">
        <v>128</v>
      </c>
      <c r="Z1" s="11" t="s">
        <v>130</v>
      </c>
      <c r="AA1" s="2" t="s">
        <v>127</v>
      </c>
      <c r="AB1" s="2" t="s">
        <v>131</v>
      </c>
    </row>
    <row r="2" spans="1:28" s="20" customFormat="1" x14ac:dyDescent="0.25">
      <c r="A2" t="s">
        <v>82</v>
      </c>
      <c r="B2" t="s">
        <v>49</v>
      </c>
      <c r="C2" t="s">
        <v>50</v>
      </c>
      <c r="D2" t="s">
        <v>25</v>
      </c>
      <c r="E2" t="s">
        <v>29</v>
      </c>
      <c r="F2" t="s">
        <v>55</v>
      </c>
      <c r="G2" t="s">
        <v>58</v>
      </c>
      <c r="H2" t="s">
        <v>55</v>
      </c>
      <c r="I2" t="s">
        <v>58</v>
      </c>
      <c r="J2" s="21">
        <v>0.3125</v>
      </c>
      <c r="K2" s="14">
        <v>0.2986111111111111</v>
      </c>
      <c r="L2" s="14">
        <v>0.30902777777777779</v>
      </c>
      <c r="M2"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1.0416666666666685E-2</v>
      </c>
      <c r="N2">
        <v>30</v>
      </c>
      <c r="O2" s="21">
        <v>0.69791666666666663</v>
      </c>
      <c r="P2" s="44">
        <v>0.69791666666666663</v>
      </c>
      <c r="Q2" s="44">
        <v>0.70833333333333337</v>
      </c>
      <c r="R2" s="41">
        <f>IF(Table242724[[#This Row],[End of Work (time)]]&lt;Table242724[[#This Row],[Start of Work (time)]],Table242724[[#This Row],[End of Work (time)]]+24-Table242724[[#This Row],[Start of Work (time)]],Table242724[[#This Row],[End of Work (time)]]-Table242724[[#This Row],[Start of Work (time)]])</f>
        <v>0.38541666666666663</v>
      </c>
      <c r="S2" s="28">
        <f>(IF(Table242724[[#This Row],[Time of Arrival (at Home)]]&lt;Table242724[[#This Row],[Time of Departure (from Work)]],Table242724[[#This Row],[Time of Arrival (at Home)]]+24-Table242724[[#This Row],[Time of Departure (from Work)]],Table242724[[#This Row],[Time of Arrival (at Home)]]-Table242724[[#This Row],[Time of Departure (from Work)]]))</f>
        <v>1.0416666666666741E-2</v>
      </c>
      <c r="T2">
        <v>30</v>
      </c>
      <c r="U2" s="15">
        <f>Table242724[[#This Row],[Travel Time2]]+Table242724[[#This Row],[Travel Time]]</f>
        <v>2.0833333333333426E-2</v>
      </c>
      <c r="V2" s="16">
        <f>HOUR(Table242724[[#This Row],[Total Travel Time]])+MINUTE(Table242724[[#This Row],[Total Travel Time]])/60</f>
        <v>0.5</v>
      </c>
      <c r="W2" s="17">
        <f>Table242724[[#This Row],[Total travel time in hr]]/(Table242724[[#This Row],[Total travel time in hr]]+HOUR(Table242724[[#This Row],[Total Work Hours]])+MINUTE(Table242724[[#This Row],[Total Work Hours]])/60)</f>
        <v>5.128205128205128E-2</v>
      </c>
      <c r="X2" s="18">
        <f>Table242724[[#This Row],[Total travel time in hr]]/24</f>
        <v>2.0833333333333332E-2</v>
      </c>
      <c r="Y2" s="19">
        <f>Table242724[[#This Row],[Total travel time in hr]]*261</f>
        <v>130.5</v>
      </c>
      <c r="Z2" s="19">
        <f>Table242724[[#This Row],[Total travel time (hr) in a year (261 days)]]/24</f>
        <v>5.4375</v>
      </c>
      <c r="AA2" s="47">
        <f>Table242724[[#This Row],[Travel cost]]+Table242724[[#This Row],[Travel cost ]]</f>
        <v>60</v>
      </c>
      <c r="AB2" s="47">
        <f>Table242724[[#This Row],[Total Cost]]*261</f>
        <v>15660</v>
      </c>
    </row>
    <row r="3" spans="1:28" x14ac:dyDescent="0.25">
      <c r="A3" t="s">
        <v>97</v>
      </c>
      <c r="B3" t="s">
        <v>49</v>
      </c>
      <c r="C3" t="s">
        <v>50</v>
      </c>
      <c r="D3" t="s">
        <v>25</v>
      </c>
      <c r="E3" t="s">
        <v>28</v>
      </c>
      <c r="F3" t="s">
        <v>52</v>
      </c>
      <c r="G3"/>
      <c r="H3" t="s">
        <v>52</v>
      </c>
      <c r="I3"/>
      <c r="J3" s="21">
        <v>0.38541666666666669</v>
      </c>
      <c r="K3" s="14">
        <v>0.36458333333333331</v>
      </c>
      <c r="L3" s="14">
        <v>0.375</v>
      </c>
      <c r="M3"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1.0416666666666685E-2</v>
      </c>
      <c r="N3">
        <v>13</v>
      </c>
      <c r="O3" s="21">
        <v>0.83333333333333337</v>
      </c>
      <c r="P3" s="44">
        <v>0.83333333333333337</v>
      </c>
      <c r="Q3" s="44">
        <v>0.85416666666666663</v>
      </c>
      <c r="R3" s="41">
        <f>IF(Table242724[[#This Row],[End of Work (time)]]&lt;Table242724[[#This Row],[Start of Work (time)]],Table242724[[#This Row],[End of Work (time)]]+24-Table242724[[#This Row],[Start of Work (time)]],Table242724[[#This Row],[End of Work (time)]]-Table242724[[#This Row],[Start of Work (time)]])</f>
        <v>0.44791666666666669</v>
      </c>
      <c r="S3" s="28">
        <f>(IF(Table242724[[#This Row],[Time of Arrival (at Home)]]&lt;Table242724[[#This Row],[Time of Departure (from Work)]],Table242724[[#This Row],[Time of Arrival (at Home)]]+24-Table242724[[#This Row],[Time of Departure (from Work)]],Table242724[[#This Row],[Time of Arrival (at Home)]]-Table242724[[#This Row],[Time of Departure (from Work)]]))</f>
        <v>2.0833333333333259E-2</v>
      </c>
      <c r="T3">
        <v>13</v>
      </c>
      <c r="U3" s="15">
        <f>Table242724[[#This Row],[Travel Time2]]+Table242724[[#This Row],[Travel Time]]</f>
        <v>3.1249999999999944E-2</v>
      </c>
      <c r="V3" s="16">
        <f>HOUR(Table242724[[#This Row],[Total Travel Time]])+MINUTE(Table242724[[#This Row],[Total Travel Time]])/60</f>
        <v>0.75</v>
      </c>
      <c r="W3" s="17">
        <f>Table242724[[#This Row],[Total travel time in hr]]/(Table242724[[#This Row],[Total travel time in hr]]+HOUR(Table242724[[#This Row],[Total Work Hours]])+MINUTE(Table242724[[#This Row],[Total Work Hours]])/60)</f>
        <v>6.5217391304347824E-2</v>
      </c>
      <c r="X3" s="18">
        <f>Table242724[[#This Row],[Total travel time in hr]]/24</f>
        <v>3.125E-2</v>
      </c>
      <c r="Y3" s="19">
        <f>Table242724[[#This Row],[Total travel time in hr]]*261</f>
        <v>195.75</v>
      </c>
      <c r="Z3" s="19">
        <f>Table242724[[#This Row],[Total travel time (hr) in a year (261 days)]]/24</f>
        <v>8.15625</v>
      </c>
      <c r="AA3" s="47">
        <f>Table242724[[#This Row],[Travel cost]]+Table242724[[#This Row],[Travel cost ]]</f>
        <v>26</v>
      </c>
      <c r="AB3" s="47">
        <f>Table242724[[#This Row],[Total Cost]]*261</f>
        <v>6786</v>
      </c>
    </row>
    <row r="4" spans="1:28" x14ac:dyDescent="0.25">
      <c r="A4" t="s">
        <v>116</v>
      </c>
      <c r="B4" t="s">
        <v>64</v>
      </c>
      <c r="C4" t="s">
        <v>50</v>
      </c>
      <c r="D4" t="s">
        <v>25</v>
      </c>
      <c r="E4" t="s">
        <v>27</v>
      </c>
      <c r="F4" t="s">
        <v>55</v>
      </c>
      <c r="G4" t="s">
        <v>58</v>
      </c>
      <c r="H4" t="s">
        <v>55</v>
      </c>
      <c r="I4" t="s">
        <v>58</v>
      </c>
      <c r="J4" s="21">
        <v>0.33333333333333331</v>
      </c>
      <c r="K4" s="14">
        <v>0.27083333333333331</v>
      </c>
      <c r="L4" s="14">
        <v>0.29166666666666669</v>
      </c>
      <c r="M4"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2.083333333333337E-2</v>
      </c>
      <c r="N4">
        <v>35</v>
      </c>
      <c r="O4" s="21">
        <v>0.72916666666666663</v>
      </c>
      <c r="P4" s="44">
        <v>0.70833333333333337</v>
      </c>
      <c r="Q4" s="44">
        <v>0.72916666666666663</v>
      </c>
      <c r="R4" s="41">
        <f>IF(Table242724[[#This Row],[End of Work (time)]]&lt;Table242724[[#This Row],[Start of Work (time)]],Table242724[[#This Row],[End of Work (time)]]+24-Table242724[[#This Row],[Start of Work (time)]],Table242724[[#This Row],[End of Work (time)]]-Table242724[[#This Row],[Start of Work (time)]])</f>
        <v>0.39583333333333331</v>
      </c>
      <c r="S4" s="28">
        <f>(IF(Table242724[[#This Row],[Time of Arrival (at Home)]]&lt;Table242724[[#This Row],[Time of Departure (from Work)]],Table242724[[#This Row],[Time of Arrival (at Home)]]+24-Table242724[[#This Row],[Time of Departure (from Work)]],Table242724[[#This Row],[Time of Arrival (at Home)]]-Table242724[[#This Row],[Time of Departure (from Work)]]))</f>
        <v>2.0833333333333259E-2</v>
      </c>
      <c r="T4">
        <v>35</v>
      </c>
      <c r="U4" s="15">
        <f>Table242724[[#This Row],[Travel Time2]]+Table242724[[#This Row],[Travel Time]]</f>
        <v>4.166666666666663E-2</v>
      </c>
      <c r="V4" s="16">
        <f>HOUR(Table242724[[#This Row],[Total Travel Time]])+MINUTE(Table242724[[#This Row],[Total Travel Time]])/60</f>
        <v>1</v>
      </c>
      <c r="W4" s="17">
        <f>Table242724[[#This Row],[Total travel time in hr]]/(Table242724[[#This Row],[Total travel time in hr]]+HOUR(Table242724[[#This Row],[Total Work Hours]])+MINUTE(Table242724[[#This Row],[Total Work Hours]])/60)</f>
        <v>9.5238095238095233E-2</v>
      </c>
      <c r="X4" s="18">
        <f>Table242724[[#This Row],[Total travel time in hr]]/24</f>
        <v>4.1666666666666664E-2</v>
      </c>
      <c r="Y4" s="19">
        <f>Table242724[[#This Row],[Total travel time in hr]]*261</f>
        <v>261</v>
      </c>
      <c r="Z4" s="19">
        <f>Table242724[[#This Row],[Total travel time (hr) in a year (261 days)]]/24</f>
        <v>10.875</v>
      </c>
      <c r="AA4" s="47">
        <f>Table242724[[#This Row],[Travel cost]]+Table242724[[#This Row],[Travel cost ]]</f>
        <v>70</v>
      </c>
      <c r="AB4" s="47">
        <f>Table242724[[#This Row],[Total Cost]]*261</f>
        <v>18270</v>
      </c>
    </row>
    <row r="5" spans="1:28" x14ac:dyDescent="0.25">
      <c r="A5" t="s">
        <v>107</v>
      </c>
      <c r="B5" t="s">
        <v>49</v>
      </c>
      <c r="C5" t="s">
        <v>53</v>
      </c>
      <c r="D5" t="s">
        <v>25</v>
      </c>
      <c r="E5" t="s">
        <v>29</v>
      </c>
      <c r="F5" t="s">
        <v>52</v>
      </c>
      <c r="G5"/>
      <c r="H5" t="s">
        <v>54</v>
      </c>
      <c r="I5"/>
      <c r="J5" s="21">
        <v>0.58333333333333337</v>
      </c>
      <c r="K5" s="14">
        <v>0.5625</v>
      </c>
      <c r="L5" s="14">
        <v>0.58333333333333337</v>
      </c>
      <c r="M5"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2.083333333333337E-2</v>
      </c>
      <c r="N5">
        <v>0</v>
      </c>
      <c r="O5" s="44">
        <v>2.0833333333333332E-2</v>
      </c>
      <c r="P5" s="44">
        <v>2.0833333333333332E-2</v>
      </c>
      <c r="Q5" s="44">
        <v>4.1666666666666664E-2</v>
      </c>
      <c r="R5" s="41">
        <f>IF(Table242724[[#This Row],[End of Work (time)]]&lt;Table242724[[#This Row],[Start of Work (time)]],Table242724[[#This Row],[End of Work (time)]]+24-Table242724[[#This Row],[Start of Work (time)]],Table242724[[#This Row],[End of Work (time)]]-Table242724[[#This Row],[Start of Work (time)]])</f>
        <v>23.4375</v>
      </c>
      <c r="S5" s="28">
        <f>(IF(Table242724[[#This Row],[Time of Arrival (at Home)]]&lt;Table242724[[#This Row],[Time of Departure (from Work)]],Table242724[[#This Row],[Time of Arrival (at Home)]]+24-Table242724[[#This Row],[Time of Departure (from Work)]],Table242724[[#This Row],[Time of Arrival (at Home)]]-Table242724[[#This Row],[Time of Departure (from Work)]]))</f>
        <v>2.0833333333333332E-2</v>
      </c>
      <c r="T5">
        <v>0</v>
      </c>
      <c r="U5" s="15">
        <f>Table242724[[#This Row],[Travel Time2]]+Table242724[[#This Row],[Travel Time]]</f>
        <v>4.1666666666666699E-2</v>
      </c>
      <c r="V5" s="16">
        <f>HOUR(Table242724[[#This Row],[Total Travel Time]])+MINUTE(Table242724[[#This Row],[Total Travel Time]])/60</f>
        <v>1</v>
      </c>
      <c r="W5" s="17">
        <f>Table242724[[#This Row],[Total travel time in hr]]/(Table242724[[#This Row],[Total travel time in hr]]+HOUR(Table242724[[#This Row],[Total Work Hours]])+MINUTE(Table242724[[#This Row],[Total Work Hours]])/60)</f>
        <v>8.6956521739130432E-2</v>
      </c>
      <c r="X5" s="18">
        <f>Table242724[[#This Row],[Total travel time in hr]]/24</f>
        <v>4.1666666666666664E-2</v>
      </c>
      <c r="Y5" s="19">
        <f>Table242724[[#This Row],[Total travel time in hr]]*261</f>
        <v>261</v>
      </c>
      <c r="Z5" s="19">
        <f>Table242724[[#This Row],[Total travel time (hr) in a year (261 days)]]/24</f>
        <v>10.875</v>
      </c>
      <c r="AA5" s="47">
        <f>Table242724[[#This Row],[Travel cost]]+Table242724[[#This Row],[Travel cost ]]</f>
        <v>0</v>
      </c>
      <c r="AB5" s="47">
        <f>Table242724[[#This Row],[Total Cost]]*261</f>
        <v>0</v>
      </c>
    </row>
    <row r="6" spans="1:28" x14ac:dyDescent="0.25">
      <c r="A6" t="s">
        <v>81</v>
      </c>
      <c r="B6" t="s">
        <v>49</v>
      </c>
      <c r="C6" t="s">
        <v>53</v>
      </c>
      <c r="D6" t="s">
        <v>25</v>
      </c>
      <c r="E6" t="s">
        <v>29</v>
      </c>
      <c r="F6" t="s">
        <v>55</v>
      </c>
      <c r="G6" t="s">
        <v>56</v>
      </c>
      <c r="H6" t="s">
        <v>55</v>
      </c>
      <c r="I6" t="s">
        <v>57</v>
      </c>
      <c r="J6" s="21">
        <v>0.3125</v>
      </c>
      <c r="K6" s="14">
        <v>0.28472222222222221</v>
      </c>
      <c r="L6" s="14">
        <v>0.30902777777777779</v>
      </c>
      <c r="M6"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2.430555555555558E-2</v>
      </c>
      <c r="N6">
        <v>50</v>
      </c>
      <c r="O6" s="21">
        <v>0.69791666666666663</v>
      </c>
      <c r="P6" s="44">
        <v>0.70138888888888884</v>
      </c>
      <c r="Q6" s="44">
        <v>0.72222222222222221</v>
      </c>
      <c r="R6" s="41">
        <f>IF(Table242724[[#This Row],[End of Work (time)]]&lt;Table242724[[#This Row],[Start of Work (time)]],Table242724[[#This Row],[End of Work (time)]]+24-Table242724[[#This Row],[Start of Work (time)]],Table242724[[#This Row],[End of Work (time)]]-Table242724[[#This Row],[Start of Work (time)]])</f>
        <v>0.38541666666666663</v>
      </c>
      <c r="S6" s="28">
        <f>(IF(Table242724[[#This Row],[Time of Arrival (at Home)]]&lt;Table242724[[#This Row],[Time of Departure (from Work)]],Table242724[[#This Row],[Time of Arrival (at Home)]]+24-Table242724[[#This Row],[Time of Departure (from Work)]],Table242724[[#This Row],[Time of Arrival (at Home)]]-Table242724[[#This Row],[Time of Departure (from Work)]]))</f>
        <v>2.083333333333337E-2</v>
      </c>
      <c r="T6">
        <v>50</v>
      </c>
      <c r="U6" s="15">
        <f>Table242724[[#This Row],[Travel Time2]]+Table242724[[#This Row],[Travel Time]]</f>
        <v>4.5138888888888951E-2</v>
      </c>
      <c r="V6" s="16">
        <f>HOUR(Table242724[[#This Row],[Total Travel Time]])+MINUTE(Table242724[[#This Row],[Total Travel Time]])/60</f>
        <v>1.0833333333333333</v>
      </c>
      <c r="W6" s="17">
        <f>Table242724[[#This Row],[Total travel time in hr]]/(Table242724[[#This Row],[Total travel time in hr]]+HOUR(Table242724[[#This Row],[Total Work Hours]])+MINUTE(Table242724[[#This Row],[Total Work Hours]])/60)</f>
        <v>0.10483870967741934</v>
      </c>
      <c r="X6" s="18">
        <f>Table242724[[#This Row],[Total travel time in hr]]/24</f>
        <v>4.5138888888888888E-2</v>
      </c>
      <c r="Y6" s="19">
        <f>Table242724[[#This Row],[Total travel time in hr]]*261</f>
        <v>282.75</v>
      </c>
      <c r="Z6" s="19">
        <f>Table242724[[#This Row],[Total travel time (hr) in a year (261 days)]]/24</f>
        <v>11.78125</v>
      </c>
      <c r="AA6" s="47">
        <f>Table242724[[#This Row],[Travel cost]]+Table242724[[#This Row],[Travel cost ]]</f>
        <v>100</v>
      </c>
      <c r="AB6" s="47">
        <f>Table242724[[#This Row],[Total Cost]]*261</f>
        <v>26100</v>
      </c>
    </row>
    <row r="7" spans="1:28" x14ac:dyDescent="0.25">
      <c r="A7" t="s">
        <v>96</v>
      </c>
      <c r="B7" t="s">
        <v>49</v>
      </c>
      <c r="C7" t="s">
        <v>53</v>
      </c>
      <c r="D7" t="s">
        <v>25</v>
      </c>
      <c r="E7" t="s">
        <v>29</v>
      </c>
      <c r="F7" t="s">
        <v>54</v>
      </c>
      <c r="G7"/>
      <c r="H7" t="s">
        <v>54</v>
      </c>
      <c r="I7"/>
      <c r="J7" s="21">
        <v>0.41666666666666669</v>
      </c>
      <c r="K7" s="14">
        <v>0.375</v>
      </c>
      <c r="L7" s="14">
        <v>0.3888888888888889</v>
      </c>
      <c r="M7"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1.3888888888888895E-2</v>
      </c>
      <c r="N7">
        <v>0</v>
      </c>
      <c r="O7" s="21">
        <v>0.72916666666666663</v>
      </c>
      <c r="P7" s="44">
        <v>0.75</v>
      </c>
      <c r="Q7" s="44">
        <v>0.78472222222222221</v>
      </c>
      <c r="R7" s="41">
        <f>IF(Table242724[[#This Row],[End of Work (time)]]&lt;Table242724[[#This Row],[Start of Work (time)]],Table242724[[#This Row],[End of Work (time)]]+24-Table242724[[#This Row],[Start of Work (time)]],Table242724[[#This Row],[End of Work (time)]]-Table242724[[#This Row],[Start of Work (time)]])</f>
        <v>0.31249999999999994</v>
      </c>
      <c r="S7" s="28">
        <f>(IF(Table242724[[#This Row],[Time of Arrival (at Home)]]&lt;Table242724[[#This Row],[Time of Departure (from Work)]],Table242724[[#This Row],[Time of Arrival (at Home)]]+24-Table242724[[#This Row],[Time of Departure (from Work)]],Table242724[[#This Row],[Time of Arrival (at Home)]]-Table242724[[#This Row],[Time of Departure (from Work)]]))</f>
        <v>3.472222222222221E-2</v>
      </c>
      <c r="T7">
        <v>0</v>
      </c>
      <c r="U7" s="15">
        <f>Table242724[[#This Row],[Travel Time2]]+Table242724[[#This Row],[Travel Time]]</f>
        <v>4.8611111111111105E-2</v>
      </c>
      <c r="V7" s="16">
        <f>HOUR(Table242724[[#This Row],[Total Travel Time]])+MINUTE(Table242724[[#This Row],[Total Travel Time]])/60</f>
        <v>1.1666666666666667</v>
      </c>
      <c r="W7" s="17">
        <f>Table242724[[#This Row],[Total travel time in hr]]/(Table242724[[#This Row],[Total travel time in hr]]+HOUR(Table242724[[#This Row],[Total Work Hours]])+MINUTE(Table242724[[#This Row],[Total Work Hours]])/60)</f>
        <v>0.13461538461538464</v>
      </c>
      <c r="X7" s="18">
        <f>Table242724[[#This Row],[Total travel time in hr]]/24</f>
        <v>4.8611111111111112E-2</v>
      </c>
      <c r="Y7" s="19">
        <f>Table242724[[#This Row],[Total travel time in hr]]*261</f>
        <v>304.5</v>
      </c>
      <c r="Z7" s="19">
        <f>Table242724[[#This Row],[Total travel time (hr) in a year (261 days)]]/24</f>
        <v>12.6875</v>
      </c>
      <c r="AA7" s="47">
        <f>Table242724[[#This Row],[Travel cost]]+Table242724[[#This Row],[Travel cost ]]</f>
        <v>0</v>
      </c>
      <c r="AB7" s="47">
        <f>Table242724[[#This Row],[Total Cost]]*261</f>
        <v>0</v>
      </c>
    </row>
    <row r="8" spans="1:28" x14ac:dyDescent="0.25">
      <c r="A8" t="s">
        <v>79</v>
      </c>
      <c r="B8" t="s">
        <v>49</v>
      </c>
      <c r="C8" t="s">
        <v>53</v>
      </c>
      <c r="D8" t="s">
        <v>25</v>
      </c>
      <c r="E8" t="s">
        <v>29</v>
      </c>
      <c r="F8" t="s">
        <v>54</v>
      </c>
      <c r="G8"/>
      <c r="H8" t="s">
        <v>54</v>
      </c>
      <c r="I8"/>
      <c r="J8" s="21">
        <v>0.5</v>
      </c>
      <c r="K8" s="14">
        <v>0.41666666666666669</v>
      </c>
      <c r="L8" s="14">
        <v>0.45833333333333331</v>
      </c>
      <c r="M8"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4.166666666666663E-2</v>
      </c>
      <c r="N8">
        <v>160</v>
      </c>
      <c r="O8" s="21">
        <v>0.95833333333333337</v>
      </c>
      <c r="P8" s="44">
        <v>0</v>
      </c>
      <c r="Q8" s="44">
        <v>1.0416666666666666E-2</v>
      </c>
      <c r="R8" s="41">
        <f>IF(Table242724[[#This Row],[End of Work (time)]]&lt;Table242724[[#This Row],[Start of Work (time)]],Table242724[[#This Row],[End of Work (time)]]+24-Table242724[[#This Row],[Start of Work (time)]],Table242724[[#This Row],[End of Work (time)]]-Table242724[[#This Row],[Start of Work (time)]])</f>
        <v>0.45833333333333337</v>
      </c>
      <c r="S8" s="28">
        <f>(IF(Table242724[[#This Row],[Time of Arrival (at Home)]]&lt;Table242724[[#This Row],[Time of Departure (from Work)]],Table242724[[#This Row],[Time of Arrival (at Home)]]+24-Table242724[[#This Row],[Time of Departure (from Work)]],Table242724[[#This Row],[Time of Arrival (at Home)]]-Table242724[[#This Row],[Time of Departure (from Work)]]))</f>
        <v>1.0416666666666666E-2</v>
      </c>
      <c r="T8">
        <v>0</v>
      </c>
      <c r="U8" s="15">
        <f>Table242724[[#This Row],[Travel Time2]]+Table242724[[#This Row],[Travel Time]]</f>
        <v>5.2083333333333294E-2</v>
      </c>
      <c r="V8" s="16">
        <f>HOUR(Table242724[[#This Row],[Total Travel Time]])+MINUTE(Table242724[[#This Row],[Total Travel Time]])/60</f>
        <v>1.25</v>
      </c>
      <c r="W8" s="17">
        <f>Table242724[[#This Row],[Total travel time in hr]]/(Table242724[[#This Row],[Total travel time in hr]]+HOUR(Table242724[[#This Row],[Total Work Hours]])+MINUTE(Table242724[[#This Row],[Total Work Hours]])/60)</f>
        <v>0.10204081632653061</v>
      </c>
      <c r="X8" s="18">
        <f>Table242724[[#This Row],[Total travel time in hr]]/24</f>
        <v>5.2083333333333336E-2</v>
      </c>
      <c r="Y8" s="19">
        <f>Table242724[[#This Row],[Total travel time in hr]]*261</f>
        <v>326.25</v>
      </c>
      <c r="Z8" s="19">
        <f>Table242724[[#This Row],[Total travel time (hr) in a year (261 days)]]/24</f>
        <v>13.59375</v>
      </c>
      <c r="AA8" s="47">
        <f>Table242724[[#This Row],[Travel cost]]+Table242724[[#This Row],[Travel cost ]]</f>
        <v>160</v>
      </c>
      <c r="AB8" s="47">
        <f>Table242724[[#This Row],[Total Cost]]*261</f>
        <v>41760</v>
      </c>
    </row>
    <row r="9" spans="1:28" x14ac:dyDescent="0.25">
      <c r="A9" t="s">
        <v>88</v>
      </c>
      <c r="B9" t="s">
        <v>49</v>
      </c>
      <c r="C9" t="s">
        <v>53</v>
      </c>
      <c r="D9" t="s">
        <v>25</v>
      </c>
      <c r="E9" t="s">
        <v>29</v>
      </c>
      <c r="F9" t="s">
        <v>63</v>
      </c>
      <c r="G9"/>
      <c r="H9" t="s">
        <v>54</v>
      </c>
      <c r="I9"/>
      <c r="J9" s="21">
        <v>0.58333333333333337</v>
      </c>
      <c r="K9" s="14">
        <v>0.54166666666666663</v>
      </c>
      <c r="L9" s="14">
        <v>0.57291666666666663</v>
      </c>
      <c r="M9"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3.125E-2</v>
      </c>
      <c r="N9">
        <v>43</v>
      </c>
      <c r="O9" s="21">
        <v>2.0833333333333332E-2</v>
      </c>
      <c r="P9" s="44">
        <v>2.0833333333333332E-2</v>
      </c>
      <c r="Q9" s="44">
        <v>4.1666666666666664E-2</v>
      </c>
      <c r="R9" s="41">
        <f>IF(Table242724[[#This Row],[End of Work (time)]]&lt;Table242724[[#This Row],[Start of Work (time)]],Table242724[[#This Row],[End of Work (time)]]+24-Table242724[[#This Row],[Start of Work (time)]],Table242724[[#This Row],[End of Work (time)]]-Table242724[[#This Row],[Start of Work (time)]])</f>
        <v>23.4375</v>
      </c>
      <c r="S9" s="28">
        <f>(IF(Table242724[[#This Row],[Time of Arrival (at Home)]]&lt;Table242724[[#This Row],[Time of Departure (from Work)]],Table242724[[#This Row],[Time of Arrival (at Home)]]+24-Table242724[[#This Row],[Time of Departure (from Work)]],Table242724[[#This Row],[Time of Arrival (at Home)]]-Table242724[[#This Row],[Time of Departure (from Work)]]))</f>
        <v>2.0833333333333332E-2</v>
      </c>
      <c r="T9">
        <v>0</v>
      </c>
      <c r="U9" s="15">
        <f>Table242724[[#This Row],[Travel Time2]]+Table242724[[#This Row],[Travel Time]]</f>
        <v>5.2083333333333329E-2</v>
      </c>
      <c r="V9" s="16">
        <f>HOUR(Table242724[[#This Row],[Total Travel Time]])+MINUTE(Table242724[[#This Row],[Total Travel Time]])/60</f>
        <v>1.25</v>
      </c>
      <c r="W9" s="17">
        <f>Table242724[[#This Row],[Total travel time in hr]]/(Table242724[[#This Row],[Total travel time in hr]]+HOUR(Table242724[[#This Row],[Total Work Hours]])+MINUTE(Table242724[[#This Row],[Total Work Hours]])/60)</f>
        <v>0.10638297872340426</v>
      </c>
      <c r="X9" s="18">
        <f>Table242724[[#This Row],[Total travel time in hr]]/24</f>
        <v>5.2083333333333336E-2</v>
      </c>
      <c r="Y9" s="19">
        <f>Table242724[[#This Row],[Total travel time in hr]]*261</f>
        <v>326.25</v>
      </c>
      <c r="Z9" s="19">
        <f>Table242724[[#This Row],[Total travel time (hr) in a year (261 days)]]/24</f>
        <v>13.59375</v>
      </c>
      <c r="AA9" s="47">
        <f>Table242724[[#This Row],[Travel cost]]+Table242724[[#This Row],[Travel cost ]]</f>
        <v>43</v>
      </c>
      <c r="AB9" s="47">
        <f>Table242724[[#This Row],[Total Cost]]*261</f>
        <v>11223</v>
      </c>
    </row>
    <row r="10" spans="1:28" x14ac:dyDescent="0.25">
      <c r="A10" t="s">
        <v>84</v>
      </c>
      <c r="B10" t="s">
        <v>49</v>
      </c>
      <c r="C10" t="s">
        <v>50</v>
      </c>
      <c r="D10" t="s">
        <v>26</v>
      </c>
      <c r="E10" t="s">
        <v>29</v>
      </c>
      <c r="F10" t="s">
        <v>60</v>
      </c>
      <c r="G10"/>
      <c r="H10" t="s">
        <v>54</v>
      </c>
      <c r="I10"/>
      <c r="J10" s="21">
        <v>0.58333333333333337</v>
      </c>
      <c r="K10" s="14">
        <v>0.54166666666666663</v>
      </c>
      <c r="L10" s="14">
        <v>0.58333333333333337</v>
      </c>
      <c r="M10"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4.1666666666666741E-2</v>
      </c>
      <c r="N10">
        <v>49</v>
      </c>
      <c r="O10" s="21">
        <v>0</v>
      </c>
      <c r="P10" s="44">
        <v>0</v>
      </c>
      <c r="Q10" s="44">
        <v>1.0416666666666666E-2</v>
      </c>
      <c r="R10" s="41">
        <f>IF(Table242724[[#This Row],[End of Work (time)]]&lt;Table242724[[#This Row],[Start of Work (time)]],Table242724[[#This Row],[End of Work (time)]]+24-Table242724[[#This Row],[Start of Work (time)]],Table242724[[#This Row],[End of Work (time)]]-Table242724[[#This Row],[Start of Work (time)]])</f>
        <v>23.416666666666668</v>
      </c>
      <c r="S10" s="28">
        <f>(IF(Table242724[[#This Row],[Time of Arrival (at Home)]]&lt;Table242724[[#This Row],[Time of Departure (from Work)]],Table242724[[#This Row],[Time of Arrival (at Home)]]+24-Table242724[[#This Row],[Time of Departure (from Work)]],Table242724[[#This Row],[Time of Arrival (at Home)]]-Table242724[[#This Row],[Time of Departure (from Work)]]))</f>
        <v>1.0416666666666666E-2</v>
      </c>
      <c r="T10">
        <v>0</v>
      </c>
      <c r="U10" s="15">
        <f>Table242724[[#This Row],[Travel Time2]]+Table242724[[#This Row],[Travel Time]]</f>
        <v>5.2083333333333405E-2</v>
      </c>
      <c r="V10" s="16">
        <f>HOUR(Table242724[[#This Row],[Total Travel Time]])+MINUTE(Table242724[[#This Row],[Total Travel Time]])/60</f>
        <v>1.25</v>
      </c>
      <c r="W10" s="17">
        <f>Table242724[[#This Row],[Total travel time in hr]]/(Table242724[[#This Row],[Total travel time in hr]]+HOUR(Table242724[[#This Row],[Total Work Hours]])+MINUTE(Table242724[[#This Row],[Total Work Hours]])/60)</f>
        <v>0.1111111111111111</v>
      </c>
      <c r="X10" s="18">
        <f>Table242724[[#This Row],[Total travel time in hr]]/24</f>
        <v>5.2083333333333336E-2</v>
      </c>
      <c r="Y10" s="19">
        <f>Table242724[[#This Row],[Total travel time in hr]]*261</f>
        <v>326.25</v>
      </c>
      <c r="Z10" s="19">
        <f>Table242724[[#This Row],[Total travel time (hr) in a year (261 days)]]/24</f>
        <v>13.59375</v>
      </c>
      <c r="AA10" s="47">
        <f>Table242724[[#This Row],[Travel cost]]+Table242724[[#This Row],[Travel cost ]]</f>
        <v>49</v>
      </c>
      <c r="AB10" s="47">
        <f>Table242724[[#This Row],[Total Cost]]*261</f>
        <v>12789</v>
      </c>
    </row>
    <row r="11" spans="1:28" x14ac:dyDescent="0.25">
      <c r="A11" t="s">
        <v>108</v>
      </c>
      <c r="B11" t="s">
        <v>49</v>
      </c>
      <c r="C11" t="s">
        <v>50</v>
      </c>
      <c r="D11" t="s">
        <v>25</v>
      </c>
      <c r="E11" t="s">
        <v>29</v>
      </c>
      <c r="F11" t="s">
        <v>72</v>
      </c>
      <c r="G11"/>
      <c r="H11" t="s">
        <v>61</v>
      </c>
      <c r="I11"/>
      <c r="J11" s="21">
        <v>0.25</v>
      </c>
      <c r="K11" s="14">
        <v>0.20833333333333334</v>
      </c>
      <c r="L11" s="14">
        <v>0.22916666666666666</v>
      </c>
      <c r="M11"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2.0833333333333315E-2</v>
      </c>
      <c r="N11">
        <v>19</v>
      </c>
      <c r="O11" s="21">
        <v>0.58333333333333337</v>
      </c>
      <c r="P11" s="44">
        <v>0.58333333333333337</v>
      </c>
      <c r="Q11" s="44">
        <v>0.625</v>
      </c>
      <c r="R11" s="41">
        <f>IF(Table242724[[#This Row],[End of Work (time)]]&lt;Table242724[[#This Row],[Start of Work (time)]],Table242724[[#This Row],[End of Work (time)]]+24-Table242724[[#This Row],[Start of Work (time)]],Table242724[[#This Row],[End of Work (time)]]-Table242724[[#This Row],[Start of Work (time)]])</f>
        <v>0.33333333333333337</v>
      </c>
      <c r="S11" s="28">
        <f>(IF(Table242724[[#This Row],[Time of Arrival (at Home)]]&lt;Table242724[[#This Row],[Time of Departure (from Work)]],Table242724[[#This Row],[Time of Arrival (at Home)]]+24-Table242724[[#This Row],[Time of Departure (from Work)]],Table242724[[#This Row],[Time of Arrival (at Home)]]-Table242724[[#This Row],[Time of Departure (from Work)]]))</f>
        <v>4.166666666666663E-2</v>
      </c>
      <c r="T11">
        <v>30</v>
      </c>
      <c r="U11" s="15">
        <f>Table242724[[#This Row],[Travel Time2]]+Table242724[[#This Row],[Travel Time]]</f>
        <v>6.2499999999999944E-2</v>
      </c>
      <c r="V11" s="16">
        <f>HOUR(Table242724[[#This Row],[Total Travel Time]])+MINUTE(Table242724[[#This Row],[Total Travel Time]])/60</f>
        <v>1.5</v>
      </c>
      <c r="W11" s="17">
        <f>Table242724[[#This Row],[Total travel time in hr]]/(Table242724[[#This Row],[Total travel time in hr]]+HOUR(Table242724[[#This Row],[Total Work Hours]])+MINUTE(Table242724[[#This Row],[Total Work Hours]])/60)</f>
        <v>0.15789473684210525</v>
      </c>
      <c r="X11" s="18">
        <f>Table242724[[#This Row],[Total travel time in hr]]/24</f>
        <v>6.25E-2</v>
      </c>
      <c r="Y11" s="19">
        <f>Table242724[[#This Row],[Total travel time in hr]]*261</f>
        <v>391.5</v>
      </c>
      <c r="Z11" s="19">
        <f>Table242724[[#This Row],[Total travel time (hr) in a year (261 days)]]/24</f>
        <v>16.3125</v>
      </c>
      <c r="AA11" s="47">
        <f>Table242724[[#This Row],[Travel cost]]+Table242724[[#This Row],[Travel cost ]]</f>
        <v>49</v>
      </c>
      <c r="AB11" s="47">
        <f>Table242724[[#This Row],[Total Cost]]*261</f>
        <v>12789</v>
      </c>
    </row>
    <row r="12" spans="1:28" x14ac:dyDescent="0.25">
      <c r="A12" t="s">
        <v>117</v>
      </c>
      <c r="B12" t="s">
        <v>49</v>
      </c>
      <c r="C12" t="s">
        <v>50</v>
      </c>
      <c r="D12" t="s">
        <v>25</v>
      </c>
      <c r="E12" t="s">
        <v>29</v>
      </c>
      <c r="F12" t="s">
        <v>65</v>
      </c>
      <c r="G12"/>
      <c r="H12" t="s">
        <v>54</v>
      </c>
      <c r="I12"/>
      <c r="J12" s="21">
        <v>0.58333333333333337</v>
      </c>
      <c r="K12" s="14">
        <v>0.58333333333333337</v>
      </c>
      <c r="L12" s="14">
        <v>0.625</v>
      </c>
      <c r="M12"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4.166666666666663E-2</v>
      </c>
      <c r="N12">
        <v>34</v>
      </c>
      <c r="O12" s="21">
        <v>2.0833333333333332E-2</v>
      </c>
      <c r="P12" s="44">
        <v>0</v>
      </c>
      <c r="Q12" s="44">
        <v>2.0833333333333332E-2</v>
      </c>
      <c r="R12" s="41">
        <f>IF(Table242724[[#This Row],[End of Work (time)]]&lt;Table242724[[#This Row],[Start of Work (time)]],Table242724[[#This Row],[End of Work (time)]]+24-Table242724[[#This Row],[Start of Work (time)]],Table242724[[#This Row],[End of Work (time)]]-Table242724[[#This Row],[Start of Work (time)]])</f>
        <v>23.4375</v>
      </c>
      <c r="S12" s="28">
        <f>(IF(Table242724[[#This Row],[Time of Arrival (at Home)]]&lt;Table242724[[#This Row],[Time of Departure (from Work)]],Table242724[[#This Row],[Time of Arrival (at Home)]]+24-Table242724[[#This Row],[Time of Departure (from Work)]],Table242724[[#This Row],[Time of Arrival (at Home)]]-Table242724[[#This Row],[Time of Departure (from Work)]]))</f>
        <v>2.0833333333333332E-2</v>
      </c>
      <c r="T12">
        <v>0</v>
      </c>
      <c r="U12" s="15">
        <f>Table242724[[#This Row],[Travel Time2]]+Table242724[[#This Row],[Travel Time]]</f>
        <v>6.2499999999999958E-2</v>
      </c>
      <c r="V12" s="16">
        <f>HOUR(Table242724[[#This Row],[Total Travel Time]])+MINUTE(Table242724[[#This Row],[Total Travel Time]])/60</f>
        <v>1.5</v>
      </c>
      <c r="W12" s="17">
        <f>Table242724[[#This Row],[Total travel time in hr]]/(Table242724[[#This Row],[Total travel time in hr]]+HOUR(Table242724[[#This Row],[Total Work Hours]])+MINUTE(Table242724[[#This Row],[Total Work Hours]])/60)</f>
        <v>0.125</v>
      </c>
      <c r="X12" s="18">
        <f>Table242724[[#This Row],[Total travel time in hr]]/24</f>
        <v>6.25E-2</v>
      </c>
      <c r="Y12" s="19">
        <f>Table242724[[#This Row],[Total travel time in hr]]*261</f>
        <v>391.5</v>
      </c>
      <c r="Z12" s="19">
        <f>Table242724[[#This Row],[Total travel time (hr) in a year (261 days)]]/24</f>
        <v>16.3125</v>
      </c>
      <c r="AA12" s="47">
        <f>Table242724[[#This Row],[Travel cost]]+Table242724[[#This Row],[Travel cost ]]</f>
        <v>34</v>
      </c>
      <c r="AB12" s="47">
        <f>Table242724[[#This Row],[Total Cost]]*261</f>
        <v>8874</v>
      </c>
    </row>
    <row r="13" spans="1:28" x14ac:dyDescent="0.25">
      <c r="A13" t="s">
        <v>94</v>
      </c>
      <c r="B13" t="s">
        <v>64</v>
      </c>
      <c r="C13" t="s">
        <v>50</v>
      </c>
      <c r="D13" t="s">
        <v>25</v>
      </c>
      <c r="E13" t="s">
        <v>29</v>
      </c>
      <c r="F13" t="s">
        <v>52</v>
      </c>
      <c r="G13"/>
      <c r="H13" t="s">
        <v>54</v>
      </c>
      <c r="I13"/>
      <c r="J13" s="21">
        <v>0.5</v>
      </c>
      <c r="K13" s="14">
        <v>0.46875</v>
      </c>
      <c r="L13" s="14">
        <v>0.5</v>
      </c>
      <c r="M13"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3.125E-2</v>
      </c>
      <c r="N13">
        <v>20</v>
      </c>
      <c r="O13" s="21">
        <v>0.83333333333333337</v>
      </c>
      <c r="P13" s="44">
        <v>0.83333333333333337</v>
      </c>
      <c r="Q13" s="44">
        <v>0.875</v>
      </c>
      <c r="R13" s="41">
        <f>IF(Table242724[[#This Row],[End of Work (time)]]&lt;Table242724[[#This Row],[Start of Work (time)]],Table242724[[#This Row],[End of Work (time)]]+24-Table242724[[#This Row],[Start of Work (time)]],Table242724[[#This Row],[End of Work (time)]]-Table242724[[#This Row],[Start of Work (time)]])</f>
        <v>0.33333333333333337</v>
      </c>
      <c r="S13" s="28">
        <f>(IF(Table242724[[#This Row],[Time of Arrival (at Home)]]&lt;Table242724[[#This Row],[Time of Departure (from Work)]],Table242724[[#This Row],[Time of Arrival (at Home)]]+24-Table242724[[#This Row],[Time of Departure (from Work)]],Table242724[[#This Row],[Time of Arrival (at Home)]]-Table242724[[#This Row],[Time of Departure (from Work)]]))</f>
        <v>4.166666666666663E-2</v>
      </c>
      <c r="T13">
        <v>20</v>
      </c>
      <c r="U13" s="15">
        <f>Table242724[[#This Row],[Travel Time2]]+Table242724[[#This Row],[Travel Time]]</f>
        <v>7.291666666666663E-2</v>
      </c>
      <c r="V13" s="16">
        <f>HOUR(Table242724[[#This Row],[Total Travel Time]])+MINUTE(Table242724[[#This Row],[Total Travel Time]])/60</f>
        <v>1.75</v>
      </c>
      <c r="W13" s="17">
        <f>Table242724[[#This Row],[Total travel time in hr]]/(Table242724[[#This Row],[Total travel time in hr]]+HOUR(Table242724[[#This Row],[Total Work Hours]])+MINUTE(Table242724[[#This Row],[Total Work Hours]])/60)</f>
        <v>0.17948717948717949</v>
      </c>
      <c r="X13" s="18">
        <f>Table242724[[#This Row],[Total travel time in hr]]/24</f>
        <v>7.2916666666666671E-2</v>
      </c>
      <c r="Y13" s="19">
        <f>Table242724[[#This Row],[Total travel time in hr]]*261</f>
        <v>456.75</v>
      </c>
      <c r="Z13" s="19">
        <f>Table242724[[#This Row],[Total travel time (hr) in a year (261 days)]]/24</f>
        <v>19.03125</v>
      </c>
      <c r="AA13" s="47">
        <f>Table242724[[#This Row],[Travel cost]]+Table242724[[#This Row],[Travel cost ]]</f>
        <v>40</v>
      </c>
      <c r="AB13" s="47">
        <f>Table242724[[#This Row],[Total Cost]]*261</f>
        <v>10440</v>
      </c>
    </row>
    <row r="14" spans="1:28" x14ac:dyDescent="0.25">
      <c r="A14" t="s">
        <v>113</v>
      </c>
      <c r="B14" t="s">
        <v>64</v>
      </c>
      <c r="C14" t="s">
        <v>50</v>
      </c>
      <c r="D14" t="s">
        <v>26</v>
      </c>
      <c r="E14" t="s">
        <v>29</v>
      </c>
      <c r="F14" t="s">
        <v>55</v>
      </c>
      <c r="G14" t="s">
        <v>58</v>
      </c>
      <c r="H14" t="s">
        <v>61</v>
      </c>
      <c r="I14"/>
      <c r="J14" s="21">
        <v>0.25</v>
      </c>
      <c r="K14" s="14">
        <v>0.19791666666666666</v>
      </c>
      <c r="L14" s="14">
        <v>0.22916666666666666</v>
      </c>
      <c r="M14"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3.125E-2</v>
      </c>
      <c r="N14">
        <v>50</v>
      </c>
      <c r="O14" s="21">
        <v>0.58333333333333337</v>
      </c>
      <c r="P14" s="44">
        <v>0.58333333333333337</v>
      </c>
      <c r="Q14" s="44">
        <v>0.625</v>
      </c>
      <c r="R14" s="41">
        <f>IF(Table242724[[#This Row],[End of Work (time)]]&lt;Table242724[[#This Row],[Start of Work (time)]],Table242724[[#This Row],[End of Work (time)]]+24-Table242724[[#This Row],[Start of Work (time)]],Table242724[[#This Row],[End of Work (time)]]-Table242724[[#This Row],[Start of Work (time)]])</f>
        <v>0.33333333333333337</v>
      </c>
      <c r="S14" s="28">
        <f>(IF(Table242724[[#This Row],[Time of Arrival (at Home)]]&lt;Table242724[[#This Row],[Time of Departure (from Work)]],Table242724[[#This Row],[Time of Arrival (at Home)]]+24-Table242724[[#This Row],[Time of Departure (from Work)]],Table242724[[#This Row],[Time of Arrival (at Home)]]-Table242724[[#This Row],[Time of Departure (from Work)]]))</f>
        <v>4.166666666666663E-2</v>
      </c>
      <c r="T14">
        <v>50</v>
      </c>
      <c r="U14" s="15">
        <f>Table242724[[#This Row],[Travel Time2]]+Table242724[[#This Row],[Travel Time]]</f>
        <v>7.291666666666663E-2</v>
      </c>
      <c r="V14" s="16">
        <f>HOUR(Table242724[[#This Row],[Total Travel Time]])+MINUTE(Table242724[[#This Row],[Total Travel Time]])/60</f>
        <v>1.75</v>
      </c>
      <c r="W14" s="17">
        <f>Table242724[[#This Row],[Total travel time in hr]]/(Table242724[[#This Row],[Total travel time in hr]]+HOUR(Table242724[[#This Row],[Total Work Hours]])+MINUTE(Table242724[[#This Row],[Total Work Hours]])/60)</f>
        <v>0.17948717948717949</v>
      </c>
      <c r="X14" s="18">
        <f>Table242724[[#This Row],[Total travel time in hr]]/24</f>
        <v>7.2916666666666671E-2</v>
      </c>
      <c r="Y14" s="19">
        <f>Table242724[[#This Row],[Total travel time in hr]]*261</f>
        <v>456.75</v>
      </c>
      <c r="Z14" s="19">
        <f>Table242724[[#This Row],[Total travel time (hr) in a year (261 days)]]/24</f>
        <v>19.03125</v>
      </c>
      <c r="AA14" s="47">
        <f>Table242724[[#This Row],[Travel cost]]+Table242724[[#This Row],[Travel cost ]]</f>
        <v>100</v>
      </c>
      <c r="AB14" s="47">
        <f>Table242724[[#This Row],[Total Cost]]*261</f>
        <v>26100</v>
      </c>
    </row>
    <row r="15" spans="1:28" x14ac:dyDescent="0.25">
      <c r="A15" t="s">
        <v>95</v>
      </c>
      <c r="B15" t="s">
        <v>49</v>
      </c>
      <c r="C15" t="s">
        <v>53</v>
      </c>
      <c r="D15" t="s">
        <v>25</v>
      </c>
      <c r="E15" t="s">
        <v>29</v>
      </c>
      <c r="F15" t="s">
        <v>52</v>
      </c>
      <c r="G15"/>
      <c r="H15" t="s">
        <v>52</v>
      </c>
      <c r="I15"/>
      <c r="J15" s="21">
        <v>0.33333333333333331</v>
      </c>
      <c r="K15" s="14">
        <v>0.3125</v>
      </c>
      <c r="L15" s="14">
        <v>0.32291666666666669</v>
      </c>
      <c r="M15"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1.0416666666666685E-2</v>
      </c>
      <c r="N15">
        <v>8</v>
      </c>
      <c r="O15" s="21">
        <v>0.70833333333333337</v>
      </c>
      <c r="P15" s="44">
        <v>0.72916666666666663</v>
      </c>
      <c r="Q15" s="44">
        <v>0.79166666666666663</v>
      </c>
      <c r="R15" s="41">
        <f>IF(Table242724[[#This Row],[End of Work (time)]]&lt;Table242724[[#This Row],[Start of Work (time)]],Table242724[[#This Row],[End of Work (time)]]+24-Table242724[[#This Row],[Start of Work (time)]],Table242724[[#This Row],[End of Work (time)]]-Table242724[[#This Row],[Start of Work (time)]])</f>
        <v>0.37500000000000006</v>
      </c>
      <c r="S15" s="28">
        <f>(IF(Table242724[[#This Row],[Time of Arrival (at Home)]]&lt;Table242724[[#This Row],[Time of Departure (from Work)]],Table242724[[#This Row],[Time of Arrival (at Home)]]+24-Table242724[[#This Row],[Time of Departure (from Work)]],Table242724[[#This Row],[Time of Arrival (at Home)]]-Table242724[[#This Row],[Time of Departure (from Work)]]))</f>
        <v>6.25E-2</v>
      </c>
      <c r="T15">
        <v>8</v>
      </c>
      <c r="U15" s="15">
        <f>Table242724[[#This Row],[Travel Time2]]+Table242724[[#This Row],[Travel Time]]</f>
        <v>7.2916666666666685E-2</v>
      </c>
      <c r="V15" s="16">
        <f>HOUR(Table242724[[#This Row],[Total Travel Time]])+MINUTE(Table242724[[#This Row],[Total Travel Time]])/60</f>
        <v>1.75</v>
      </c>
      <c r="W15" s="17">
        <f>Table242724[[#This Row],[Total travel time in hr]]/(Table242724[[#This Row],[Total travel time in hr]]+HOUR(Table242724[[#This Row],[Total Work Hours]])+MINUTE(Table242724[[#This Row],[Total Work Hours]])/60)</f>
        <v>0.16279069767441862</v>
      </c>
      <c r="X15" s="18">
        <f>Table242724[[#This Row],[Total travel time in hr]]/24</f>
        <v>7.2916666666666671E-2</v>
      </c>
      <c r="Y15" s="19">
        <f>Table242724[[#This Row],[Total travel time in hr]]*261</f>
        <v>456.75</v>
      </c>
      <c r="Z15" s="19">
        <f>Table242724[[#This Row],[Total travel time (hr) in a year (261 days)]]/24</f>
        <v>19.03125</v>
      </c>
      <c r="AA15" s="47">
        <f>Table242724[[#This Row],[Travel cost]]+Table242724[[#This Row],[Travel cost ]]</f>
        <v>16</v>
      </c>
      <c r="AB15" s="47">
        <f>Table242724[[#This Row],[Total Cost]]*261</f>
        <v>4176</v>
      </c>
    </row>
    <row r="16" spans="1:28" x14ac:dyDescent="0.25">
      <c r="A16" t="s">
        <v>102</v>
      </c>
      <c r="B16" t="s">
        <v>49</v>
      </c>
      <c r="C16" t="s">
        <v>53</v>
      </c>
      <c r="D16" t="s">
        <v>25</v>
      </c>
      <c r="E16" t="s">
        <v>29</v>
      </c>
      <c r="F16" t="s">
        <v>59</v>
      </c>
      <c r="G16"/>
      <c r="H16" t="s">
        <v>60</v>
      </c>
      <c r="I16"/>
      <c r="J16" s="21">
        <v>0.47916666666666669</v>
      </c>
      <c r="K16" s="14">
        <v>0.45833333333333331</v>
      </c>
      <c r="L16" s="14">
        <v>0.47916666666666669</v>
      </c>
      <c r="M16"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2.083333333333337E-2</v>
      </c>
      <c r="N16">
        <v>0</v>
      </c>
      <c r="O16" s="21">
        <v>0.85416666666666663</v>
      </c>
      <c r="P16" s="44">
        <v>0.85416666666666663</v>
      </c>
      <c r="Q16" s="44">
        <v>0.90625</v>
      </c>
      <c r="R16" s="41">
        <f>IF(Table242724[[#This Row],[End of Work (time)]]&lt;Table242724[[#This Row],[Start of Work (time)]],Table242724[[#This Row],[End of Work (time)]]+24-Table242724[[#This Row],[Start of Work (time)]],Table242724[[#This Row],[End of Work (time)]]-Table242724[[#This Row],[Start of Work (time)]])</f>
        <v>0.37499999999999994</v>
      </c>
      <c r="S16" s="28">
        <f>(IF(Table242724[[#This Row],[Time of Arrival (at Home)]]&lt;Table242724[[#This Row],[Time of Departure (from Work)]],Table242724[[#This Row],[Time of Arrival (at Home)]]+24-Table242724[[#This Row],[Time of Departure (from Work)]],Table242724[[#This Row],[Time of Arrival (at Home)]]-Table242724[[#This Row],[Time of Departure (from Work)]]))</f>
        <v>5.208333333333337E-2</v>
      </c>
      <c r="T16">
        <v>20</v>
      </c>
      <c r="U16" s="15">
        <f>Table242724[[#This Row],[Travel Time2]]+Table242724[[#This Row],[Travel Time]]</f>
        <v>7.2916666666666741E-2</v>
      </c>
      <c r="V16" s="16">
        <f>HOUR(Table242724[[#This Row],[Total Travel Time]])+MINUTE(Table242724[[#This Row],[Total Travel Time]])/60</f>
        <v>1.75</v>
      </c>
      <c r="W16" s="17">
        <f>Table242724[[#This Row],[Total travel time in hr]]/(Table242724[[#This Row],[Total travel time in hr]]+HOUR(Table242724[[#This Row],[Total Work Hours]])+MINUTE(Table242724[[#This Row],[Total Work Hours]])/60)</f>
        <v>0.16279069767441862</v>
      </c>
      <c r="X16" s="18">
        <f>Table242724[[#This Row],[Total travel time in hr]]/24</f>
        <v>7.2916666666666671E-2</v>
      </c>
      <c r="Y16" s="19">
        <f>Table242724[[#This Row],[Total travel time in hr]]*261</f>
        <v>456.75</v>
      </c>
      <c r="Z16" s="19">
        <f>Table242724[[#This Row],[Total travel time (hr) in a year (261 days)]]/24</f>
        <v>19.03125</v>
      </c>
      <c r="AA16" s="47">
        <f>Table242724[[#This Row],[Travel cost]]+Table242724[[#This Row],[Travel cost ]]</f>
        <v>20</v>
      </c>
      <c r="AB16" s="47">
        <f>Table242724[[#This Row],[Total Cost]]*261</f>
        <v>5220</v>
      </c>
    </row>
    <row r="17" spans="1:28" x14ac:dyDescent="0.25">
      <c r="A17" t="s">
        <v>102</v>
      </c>
      <c r="B17" t="s">
        <v>49</v>
      </c>
      <c r="C17" t="s">
        <v>53</v>
      </c>
      <c r="D17" t="s">
        <v>25</v>
      </c>
      <c r="E17" t="s">
        <v>29</v>
      </c>
      <c r="F17" t="s">
        <v>59</v>
      </c>
      <c r="G17"/>
      <c r="H17" t="s">
        <v>60</v>
      </c>
      <c r="I17"/>
      <c r="J17" s="21">
        <v>0.47916666666666669</v>
      </c>
      <c r="K17" s="14">
        <v>0.45833333333333331</v>
      </c>
      <c r="L17" s="14">
        <v>0.47916666666666669</v>
      </c>
      <c r="M17"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2.083333333333337E-2</v>
      </c>
      <c r="N17">
        <v>0</v>
      </c>
      <c r="O17" s="21">
        <v>0.85416666666666663</v>
      </c>
      <c r="P17" s="44">
        <v>0.85416666666666663</v>
      </c>
      <c r="Q17" s="44">
        <v>0.90625</v>
      </c>
      <c r="R17" s="41">
        <f>IF(Table242724[[#This Row],[End of Work (time)]]&lt;Table242724[[#This Row],[Start of Work (time)]],Table242724[[#This Row],[End of Work (time)]]+24-Table242724[[#This Row],[Start of Work (time)]],Table242724[[#This Row],[End of Work (time)]]-Table242724[[#This Row],[Start of Work (time)]])</f>
        <v>0.37499999999999994</v>
      </c>
      <c r="S17" s="28">
        <f>(IF(Table242724[[#This Row],[Time of Arrival (at Home)]]&lt;Table242724[[#This Row],[Time of Departure (from Work)]],Table242724[[#This Row],[Time of Arrival (at Home)]]+24-Table242724[[#This Row],[Time of Departure (from Work)]],Table242724[[#This Row],[Time of Arrival (at Home)]]-Table242724[[#This Row],[Time of Departure (from Work)]]))</f>
        <v>5.208333333333337E-2</v>
      </c>
      <c r="T17">
        <v>20</v>
      </c>
      <c r="U17" s="15">
        <f>Table242724[[#This Row],[Travel Time2]]+Table242724[[#This Row],[Travel Time]]</f>
        <v>7.2916666666666741E-2</v>
      </c>
      <c r="V17" s="16">
        <f>HOUR(Table242724[[#This Row],[Total Travel Time]])+MINUTE(Table242724[[#This Row],[Total Travel Time]])/60</f>
        <v>1.75</v>
      </c>
      <c r="W17" s="17">
        <f>Table242724[[#This Row],[Total travel time in hr]]/(Table242724[[#This Row],[Total travel time in hr]]+HOUR(Table242724[[#This Row],[Total Work Hours]])+MINUTE(Table242724[[#This Row],[Total Work Hours]])/60)</f>
        <v>0.16279069767441862</v>
      </c>
      <c r="X17" s="18">
        <f>Table242724[[#This Row],[Total travel time in hr]]/24</f>
        <v>7.2916666666666671E-2</v>
      </c>
      <c r="Y17" s="19">
        <f>Table242724[[#This Row],[Total travel time in hr]]*261</f>
        <v>456.75</v>
      </c>
      <c r="Z17" s="19">
        <f>Table242724[[#This Row],[Total travel time (hr) in a year (261 days)]]/24</f>
        <v>19.03125</v>
      </c>
      <c r="AA17" s="47">
        <f>Table242724[[#This Row],[Travel cost]]+Table242724[[#This Row],[Travel cost ]]</f>
        <v>20</v>
      </c>
      <c r="AB17" s="47">
        <f>Table242724[[#This Row],[Total Cost]]*261</f>
        <v>5220</v>
      </c>
    </row>
    <row r="18" spans="1:28" x14ac:dyDescent="0.25">
      <c r="A18" t="s">
        <v>98</v>
      </c>
      <c r="B18" t="s">
        <v>64</v>
      </c>
      <c r="C18" t="s">
        <v>76</v>
      </c>
      <c r="D18" t="s">
        <v>25</v>
      </c>
      <c r="E18" t="s">
        <v>27</v>
      </c>
      <c r="F18" t="s">
        <v>59</v>
      </c>
      <c r="G18"/>
      <c r="H18" t="s">
        <v>65</v>
      </c>
      <c r="I18"/>
      <c r="J18" s="21">
        <v>0.33333333333333331</v>
      </c>
      <c r="K18" s="14">
        <v>0.29166666666666669</v>
      </c>
      <c r="L18" s="14">
        <v>0.3263888888888889</v>
      </c>
      <c r="M18"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3.472222222222221E-2</v>
      </c>
      <c r="N18">
        <v>60</v>
      </c>
      <c r="O18" s="21">
        <v>0.68055555555555547</v>
      </c>
      <c r="P18" s="44">
        <v>0.6875</v>
      </c>
      <c r="Q18" s="44">
        <v>0.72916666666666663</v>
      </c>
      <c r="R18" s="41">
        <f>IF(Table242724[[#This Row],[End of Work (time)]]&lt;Table242724[[#This Row],[Start of Work (time)]],Table242724[[#This Row],[End of Work (time)]]+24-Table242724[[#This Row],[Start of Work (time)]],Table242724[[#This Row],[End of Work (time)]]-Table242724[[#This Row],[Start of Work (time)]])</f>
        <v>0.34722222222222215</v>
      </c>
      <c r="S18" s="28">
        <f>(IF(Table242724[[#This Row],[Time of Arrival (at Home)]]&lt;Table242724[[#This Row],[Time of Departure (from Work)]],Table242724[[#This Row],[Time of Arrival (at Home)]]+24-Table242724[[#This Row],[Time of Departure (from Work)]],Table242724[[#This Row],[Time of Arrival (at Home)]]-Table242724[[#This Row],[Time of Departure (from Work)]]))</f>
        <v>4.166666666666663E-2</v>
      </c>
      <c r="T18">
        <v>60</v>
      </c>
      <c r="U18" s="15">
        <f>Table242724[[#This Row],[Travel Time2]]+Table242724[[#This Row],[Travel Time]]</f>
        <v>7.638888888888884E-2</v>
      </c>
      <c r="V18" s="16">
        <f>HOUR(Table242724[[#This Row],[Total Travel Time]])+MINUTE(Table242724[[#This Row],[Total Travel Time]])/60</f>
        <v>1.8333333333333335</v>
      </c>
      <c r="W18" s="17">
        <f>Table242724[[#This Row],[Total travel time in hr]]/(Table242724[[#This Row],[Total travel time in hr]]+HOUR(Table242724[[#This Row],[Total Work Hours]])+MINUTE(Table242724[[#This Row],[Total Work Hours]])/60)</f>
        <v>0.18032786885245902</v>
      </c>
      <c r="X18" s="18">
        <f>Table242724[[#This Row],[Total travel time in hr]]/24</f>
        <v>7.6388888888888895E-2</v>
      </c>
      <c r="Y18" s="19">
        <f>Table242724[[#This Row],[Total travel time in hr]]*261</f>
        <v>478.50000000000006</v>
      </c>
      <c r="Z18" s="19">
        <f>Table242724[[#This Row],[Total travel time (hr) in a year (261 days)]]/24</f>
        <v>19.937500000000004</v>
      </c>
      <c r="AA18" s="47">
        <f>Table242724[[#This Row],[Travel cost]]+Table242724[[#This Row],[Travel cost ]]</f>
        <v>120</v>
      </c>
      <c r="AB18" s="47">
        <f>Table242724[[#This Row],[Total Cost]]*261</f>
        <v>31320</v>
      </c>
    </row>
    <row r="19" spans="1:28" x14ac:dyDescent="0.25">
      <c r="A19" t="s">
        <v>91</v>
      </c>
      <c r="B19" t="s">
        <v>49</v>
      </c>
      <c r="C19" t="s">
        <v>50</v>
      </c>
      <c r="D19" t="s">
        <v>25</v>
      </c>
      <c r="E19" t="s">
        <v>29</v>
      </c>
      <c r="F19" t="s">
        <v>52</v>
      </c>
      <c r="G19"/>
      <c r="H19" t="s">
        <v>52</v>
      </c>
      <c r="I19"/>
      <c r="J19" s="21">
        <v>0.41666666666666669</v>
      </c>
      <c r="K19" s="14">
        <v>0.39583333333333331</v>
      </c>
      <c r="L19" s="14">
        <v>0.41666666666666669</v>
      </c>
      <c r="M19"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2.083333333333337E-2</v>
      </c>
      <c r="N19">
        <v>9</v>
      </c>
      <c r="O19" s="21">
        <v>0.77083333333333337</v>
      </c>
      <c r="P19" s="44">
        <v>0.77083333333333337</v>
      </c>
      <c r="Q19" s="44">
        <v>0.83333333333333337</v>
      </c>
      <c r="R19" s="41">
        <f>IF(Table242724[[#This Row],[End of Work (time)]]&lt;Table242724[[#This Row],[Start of Work (time)]],Table242724[[#This Row],[End of Work (time)]]+24-Table242724[[#This Row],[Start of Work (time)]],Table242724[[#This Row],[End of Work (time)]]-Table242724[[#This Row],[Start of Work (time)]])</f>
        <v>0.35416666666666669</v>
      </c>
      <c r="S19" s="28">
        <f>(IF(Table242724[[#This Row],[Time of Arrival (at Home)]]&lt;Table242724[[#This Row],[Time of Departure (from Work)]],Table242724[[#This Row],[Time of Arrival (at Home)]]+24-Table242724[[#This Row],[Time of Departure (from Work)]],Table242724[[#This Row],[Time of Arrival (at Home)]]-Table242724[[#This Row],[Time of Departure (from Work)]]))</f>
        <v>6.25E-2</v>
      </c>
      <c r="T19">
        <v>18</v>
      </c>
      <c r="U19" s="15">
        <f>Table242724[[#This Row],[Travel Time2]]+Table242724[[#This Row],[Travel Time]]</f>
        <v>8.333333333333337E-2</v>
      </c>
      <c r="V19" s="16">
        <f>HOUR(Table242724[[#This Row],[Total Travel Time]])+MINUTE(Table242724[[#This Row],[Total Travel Time]])/60</f>
        <v>2</v>
      </c>
      <c r="W19" s="17">
        <f>Table242724[[#This Row],[Total travel time in hr]]/(Table242724[[#This Row],[Total travel time in hr]]+HOUR(Table242724[[#This Row],[Total Work Hours]])+MINUTE(Table242724[[#This Row],[Total Work Hours]])/60)</f>
        <v>0.19047619047619047</v>
      </c>
      <c r="X19" s="18">
        <f>Table242724[[#This Row],[Total travel time in hr]]/24</f>
        <v>8.3333333333333329E-2</v>
      </c>
      <c r="Y19" s="19">
        <f>Table242724[[#This Row],[Total travel time in hr]]*261</f>
        <v>522</v>
      </c>
      <c r="Z19" s="19">
        <f>Table242724[[#This Row],[Total travel time (hr) in a year (261 days)]]/24</f>
        <v>21.75</v>
      </c>
      <c r="AA19" s="47">
        <f>Table242724[[#This Row],[Travel cost]]+Table242724[[#This Row],[Travel cost ]]</f>
        <v>27</v>
      </c>
      <c r="AB19" s="47">
        <f>Table242724[[#This Row],[Total Cost]]*261</f>
        <v>7047</v>
      </c>
    </row>
    <row r="20" spans="1:28" x14ac:dyDescent="0.25">
      <c r="A20" t="s">
        <v>80</v>
      </c>
      <c r="B20" t="s">
        <v>49</v>
      </c>
      <c r="C20" t="s">
        <v>50</v>
      </c>
      <c r="D20" t="s">
        <v>25</v>
      </c>
      <c r="E20" t="s">
        <v>29</v>
      </c>
      <c r="F20" t="s">
        <v>73</v>
      </c>
      <c r="G20"/>
      <c r="H20" t="s">
        <v>54</v>
      </c>
      <c r="I20"/>
      <c r="J20" s="21">
        <v>0.58333333333333337</v>
      </c>
      <c r="K20" s="14">
        <v>0.5</v>
      </c>
      <c r="L20" s="14">
        <v>0.57291666666666663</v>
      </c>
      <c r="M20"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7.291666666666663E-2</v>
      </c>
      <c r="N20">
        <v>80</v>
      </c>
      <c r="O20" s="21">
        <v>0</v>
      </c>
      <c r="P20" s="44">
        <v>0</v>
      </c>
      <c r="Q20" s="44">
        <v>2.0833333333333332E-2</v>
      </c>
      <c r="R20" s="41">
        <f>IF(Table242724[[#This Row],[End of Work (time)]]&lt;Table242724[[#This Row],[Start of Work (time)]],Table242724[[#This Row],[End of Work (time)]]+24-Table242724[[#This Row],[Start of Work (time)]],Table242724[[#This Row],[End of Work (time)]]-Table242724[[#This Row],[Start of Work (time)]])</f>
        <v>23.416666666666668</v>
      </c>
      <c r="S20" s="28">
        <f>(IF(Table242724[[#This Row],[Time of Arrival (at Home)]]&lt;Table242724[[#This Row],[Time of Departure (from Work)]],Table242724[[#This Row],[Time of Arrival (at Home)]]+24-Table242724[[#This Row],[Time of Departure (from Work)]],Table242724[[#This Row],[Time of Arrival (at Home)]]-Table242724[[#This Row],[Time of Departure (from Work)]]))</f>
        <v>2.0833333333333332E-2</v>
      </c>
      <c r="T20">
        <v>0</v>
      </c>
      <c r="U20" s="15">
        <f>Table242724[[#This Row],[Travel Time2]]+Table242724[[#This Row],[Travel Time]]</f>
        <v>9.3749999999999958E-2</v>
      </c>
      <c r="V20" s="16">
        <f>HOUR(Table242724[[#This Row],[Total Travel Time]])+MINUTE(Table242724[[#This Row],[Total Travel Time]])/60</f>
        <v>2.25</v>
      </c>
      <c r="W20" s="17">
        <f>Table242724[[#This Row],[Total travel time in hr]]/(Table242724[[#This Row],[Total travel time in hr]]+HOUR(Table242724[[#This Row],[Total Work Hours]])+MINUTE(Table242724[[#This Row],[Total Work Hours]])/60)</f>
        <v>0.18367346938775511</v>
      </c>
      <c r="X20" s="18">
        <f>Table242724[[#This Row],[Total travel time in hr]]/24</f>
        <v>9.375E-2</v>
      </c>
      <c r="Y20" s="19">
        <f>Table242724[[#This Row],[Total travel time in hr]]*261</f>
        <v>587.25</v>
      </c>
      <c r="Z20" s="19">
        <f>Table242724[[#This Row],[Total travel time (hr) in a year (261 days)]]/24</f>
        <v>24.46875</v>
      </c>
      <c r="AA20" s="47">
        <f>Table242724[[#This Row],[Travel cost]]+Table242724[[#This Row],[Travel cost ]]</f>
        <v>80</v>
      </c>
      <c r="AB20" s="47">
        <f>Table242724[[#This Row],[Total Cost]]*261</f>
        <v>20880</v>
      </c>
    </row>
    <row r="21" spans="1:28" x14ac:dyDescent="0.25">
      <c r="A21" t="s">
        <v>83</v>
      </c>
      <c r="B21" t="s">
        <v>49</v>
      </c>
      <c r="C21" t="s">
        <v>53</v>
      </c>
      <c r="D21" t="s">
        <v>25</v>
      </c>
      <c r="E21" t="s">
        <v>29</v>
      </c>
      <c r="F21" t="s">
        <v>59</v>
      </c>
      <c r="G21"/>
      <c r="H21" t="s">
        <v>54</v>
      </c>
      <c r="I21"/>
      <c r="J21" s="21">
        <v>0.625</v>
      </c>
      <c r="K21" s="14">
        <v>0.5625</v>
      </c>
      <c r="L21" s="14">
        <v>0.61458333333333337</v>
      </c>
      <c r="M21"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5.208333333333337E-2</v>
      </c>
      <c r="N21">
        <v>200</v>
      </c>
      <c r="O21" s="21">
        <v>2.0833333333333332E-2</v>
      </c>
      <c r="P21" s="44">
        <v>2.0833333333333332E-2</v>
      </c>
      <c r="Q21" s="44">
        <v>6.25E-2</v>
      </c>
      <c r="R21" s="41">
        <f>IF(Table242724[[#This Row],[End of Work (time)]]&lt;Table242724[[#This Row],[Start of Work (time)]],Table242724[[#This Row],[End of Work (time)]]+24-Table242724[[#This Row],[Start of Work (time)]],Table242724[[#This Row],[End of Work (time)]]-Table242724[[#This Row],[Start of Work (time)]])</f>
        <v>23.395833333333332</v>
      </c>
      <c r="S21" s="28">
        <f>(IF(Table242724[[#This Row],[Time of Arrival (at Home)]]&lt;Table242724[[#This Row],[Time of Departure (from Work)]],Table242724[[#This Row],[Time of Arrival (at Home)]]+24-Table242724[[#This Row],[Time of Departure (from Work)]],Table242724[[#This Row],[Time of Arrival (at Home)]]-Table242724[[#This Row],[Time of Departure (from Work)]]))</f>
        <v>4.1666666666666671E-2</v>
      </c>
      <c r="T21">
        <v>0</v>
      </c>
      <c r="U21" s="15">
        <f>Table242724[[#This Row],[Travel Time2]]+Table242724[[#This Row],[Travel Time]]</f>
        <v>9.3750000000000042E-2</v>
      </c>
      <c r="V21" s="16">
        <f>HOUR(Table242724[[#This Row],[Total Travel Time]])+MINUTE(Table242724[[#This Row],[Total Travel Time]])/60</f>
        <v>2.25</v>
      </c>
      <c r="W21" s="17">
        <f>Table242724[[#This Row],[Total travel time in hr]]/(Table242724[[#This Row],[Total travel time in hr]]+HOUR(Table242724[[#This Row],[Total Work Hours]])+MINUTE(Table242724[[#This Row],[Total Work Hours]])/60)</f>
        <v>0.19148936170212766</v>
      </c>
      <c r="X21" s="18">
        <f>Table242724[[#This Row],[Total travel time in hr]]/24</f>
        <v>9.375E-2</v>
      </c>
      <c r="Y21" s="19">
        <f>Table242724[[#This Row],[Total travel time in hr]]*261</f>
        <v>587.25</v>
      </c>
      <c r="Z21" s="19">
        <f>Table242724[[#This Row],[Total travel time (hr) in a year (261 days)]]/24</f>
        <v>24.46875</v>
      </c>
      <c r="AA21" s="47">
        <f>Table242724[[#This Row],[Travel cost]]+Table242724[[#This Row],[Travel cost ]]</f>
        <v>200</v>
      </c>
      <c r="AB21" s="47">
        <f>Table242724[[#This Row],[Total Cost]]*261</f>
        <v>52200</v>
      </c>
    </row>
    <row r="22" spans="1:28" x14ac:dyDescent="0.25">
      <c r="A22" s="27" t="s">
        <v>78</v>
      </c>
      <c r="B22" s="13" t="s">
        <v>49</v>
      </c>
      <c r="C22" s="13" t="s">
        <v>50</v>
      </c>
      <c r="D22" s="13" t="s">
        <v>25</v>
      </c>
      <c r="E22" s="13" t="s">
        <v>29</v>
      </c>
      <c r="F22" s="13" t="s">
        <v>51</v>
      </c>
      <c r="H22" s="13" t="s">
        <v>52</v>
      </c>
      <c r="J22" s="14">
        <v>0.875</v>
      </c>
      <c r="K22" s="14">
        <v>0.875</v>
      </c>
      <c r="L22" s="14">
        <v>0.91666666666666663</v>
      </c>
      <c r="M22" s="28">
        <f>ABS(IF(Table242724[[#This Row],[Time of Arrival (at Work)]]&lt;Table242724[[#This Row],[Time of Departure (from Home)]],Table242724[[#This Row],[Time of Arrival (at Work)]]+24-Table242724[[#This Row],[Time of Departure (from Home)]],Table242724[[#This Row],[Time of Arrival (at Work)]]-Table242724[[#This Row],[Time of Departure (from Home)]]))</f>
        <v>4.166666666666663E-2</v>
      </c>
      <c r="N22" s="13">
        <v>50</v>
      </c>
      <c r="O22" s="14">
        <v>0.25</v>
      </c>
      <c r="P22" s="44">
        <v>0.25</v>
      </c>
      <c r="Q22" s="44">
        <v>0.30555555555555552</v>
      </c>
      <c r="R22" s="40">
        <f>IF(Table242724[[#This Row],[End of Work (time)]]&lt;Table242724[[#This Row],[Start of Work (time)]],Table242724[[#This Row],[End of Work (time)]]+24-Table242724[[#This Row],[Start of Work (time)]],Table242724[[#This Row],[End of Work (time)]]-Table242724[[#This Row],[Start of Work (time)]])</f>
        <v>23.375</v>
      </c>
      <c r="S22" s="28">
        <f>(IF(Table242724[[#This Row],[Time of Arrival (at Home)]]&lt;Table242724[[#This Row],[Time of Departure (from Work)]],Table242724[[#This Row],[Time of Arrival (at Home)]]+24-Table242724[[#This Row],[Time of Departure (from Work)]],Table242724[[#This Row],[Time of Arrival (at Home)]]-Table242724[[#This Row],[Time of Departure (from Work)]]))</f>
        <v>5.5555555555555525E-2</v>
      </c>
      <c r="T22">
        <v>50</v>
      </c>
      <c r="U22" s="15">
        <f>Table242724[[#This Row],[Travel Time2]]+Table242724[[#This Row],[Travel Time]]</f>
        <v>9.7222222222222154E-2</v>
      </c>
      <c r="V22" s="16">
        <f>HOUR(Table242724[[#This Row],[Total Travel Time]])+MINUTE(Table242724[[#This Row],[Total Travel Time]])/60</f>
        <v>2.3333333333333335</v>
      </c>
      <c r="W22" s="17">
        <f>Table242724[[#This Row],[Total travel time in hr]]/(Table242724[[#This Row],[Total travel time in hr]]+HOUR(Table242724[[#This Row],[Total Work Hours]])+MINUTE(Table242724[[#This Row],[Total Work Hours]])/60)</f>
        <v>0.20588235294117646</v>
      </c>
      <c r="X22" s="18">
        <f>Table242724[[#This Row],[Total travel time in hr]]/24</f>
        <v>9.7222222222222224E-2</v>
      </c>
      <c r="Y22" s="19">
        <f>Table242724[[#This Row],[Total travel time in hr]]*261</f>
        <v>609</v>
      </c>
      <c r="Z22" s="19">
        <f>Table242724[[#This Row],[Total travel time (hr) in a year (261 days)]]/24</f>
        <v>25.375</v>
      </c>
      <c r="AA22" s="47">
        <f>Table242724[[#This Row],[Travel cost]]+Table242724[[#This Row],[Travel cost ]]</f>
        <v>100</v>
      </c>
      <c r="AB22" s="47">
        <f>Table242724[[#This Row],[Total Cost]]*261</f>
        <v>26100</v>
      </c>
    </row>
    <row r="23" spans="1:28" x14ac:dyDescent="0.25">
      <c r="A23" t="s">
        <v>111</v>
      </c>
      <c r="B23" t="s">
        <v>49</v>
      </c>
      <c r="C23" t="s">
        <v>50</v>
      </c>
      <c r="D23" t="s">
        <v>25</v>
      </c>
      <c r="E23" t="s">
        <v>29</v>
      </c>
      <c r="F23" t="s">
        <v>59</v>
      </c>
      <c r="G23"/>
      <c r="H23" t="s">
        <v>54</v>
      </c>
      <c r="I23"/>
      <c r="J23" s="21">
        <v>0.58333333333333337</v>
      </c>
      <c r="K23" s="14">
        <v>0.52083333333333337</v>
      </c>
      <c r="L23" s="14">
        <v>0.60416666666666663</v>
      </c>
      <c r="M23"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8.3333333333333259E-2</v>
      </c>
      <c r="N23">
        <v>100</v>
      </c>
      <c r="O23" s="21">
        <v>2.0833333333333332E-2</v>
      </c>
      <c r="P23" s="44">
        <v>2.0833333333333332E-2</v>
      </c>
      <c r="Q23" s="44">
        <v>4.1666666666666664E-2</v>
      </c>
      <c r="R23" s="41">
        <f>IF(Table242724[[#This Row],[End of Work (time)]]&lt;Table242724[[#This Row],[Start of Work (time)]],Table242724[[#This Row],[End of Work (time)]]+24-Table242724[[#This Row],[Start of Work (time)]],Table242724[[#This Row],[End of Work (time)]]-Table242724[[#This Row],[Start of Work (time)]])</f>
        <v>23.4375</v>
      </c>
      <c r="S23" s="28">
        <f>(IF(Table242724[[#This Row],[Time of Arrival (at Home)]]&lt;Table242724[[#This Row],[Time of Departure (from Work)]],Table242724[[#This Row],[Time of Arrival (at Home)]]+24-Table242724[[#This Row],[Time of Departure (from Work)]],Table242724[[#This Row],[Time of Arrival (at Home)]]-Table242724[[#This Row],[Time of Departure (from Work)]]))</f>
        <v>2.0833333333333332E-2</v>
      </c>
      <c r="T23">
        <v>0</v>
      </c>
      <c r="U23" s="15">
        <f>Table242724[[#This Row],[Travel Time2]]+Table242724[[#This Row],[Travel Time]]</f>
        <v>0.10416666666666659</v>
      </c>
      <c r="V23" s="16">
        <f>HOUR(Table242724[[#This Row],[Total Travel Time]])+MINUTE(Table242724[[#This Row],[Total Travel Time]])/60</f>
        <v>2.5</v>
      </c>
      <c r="W23" s="17">
        <f>Table242724[[#This Row],[Total travel time in hr]]/(Table242724[[#This Row],[Total travel time in hr]]+HOUR(Table242724[[#This Row],[Total Work Hours]])+MINUTE(Table242724[[#This Row],[Total Work Hours]])/60)</f>
        <v>0.19230769230769232</v>
      </c>
      <c r="X23" s="18">
        <f>Table242724[[#This Row],[Total travel time in hr]]/24</f>
        <v>0.10416666666666667</v>
      </c>
      <c r="Y23" s="19">
        <f>Table242724[[#This Row],[Total travel time in hr]]*261</f>
        <v>652.5</v>
      </c>
      <c r="Z23" s="19">
        <f>Table242724[[#This Row],[Total travel time (hr) in a year (261 days)]]/24</f>
        <v>27.1875</v>
      </c>
      <c r="AA23" s="47">
        <f>Table242724[[#This Row],[Travel cost]]+Table242724[[#This Row],[Travel cost ]]</f>
        <v>100</v>
      </c>
      <c r="AB23" s="47">
        <f>Table242724[[#This Row],[Total Cost]]*261</f>
        <v>26100</v>
      </c>
    </row>
    <row r="24" spans="1:28" x14ac:dyDescent="0.25">
      <c r="A24" t="s">
        <v>85</v>
      </c>
      <c r="B24" t="s">
        <v>49</v>
      </c>
      <c r="C24" t="s">
        <v>50</v>
      </c>
      <c r="D24" t="s">
        <v>25</v>
      </c>
      <c r="E24" t="s">
        <v>29</v>
      </c>
      <c r="F24" t="s">
        <v>60</v>
      </c>
      <c r="G24"/>
      <c r="H24" t="s">
        <v>52</v>
      </c>
      <c r="I24"/>
      <c r="J24" s="21">
        <v>0.41666666666666669</v>
      </c>
      <c r="K24" s="14">
        <v>0.375</v>
      </c>
      <c r="L24" s="14">
        <v>0.39583333333333331</v>
      </c>
      <c r="M24"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2.0833333333333315E-2</v>
      </c>
      <c r="N24">
        <v>13</v>
      </c>
      <c r="O24" s="21">
        <v>0.75</v>
      </c>
      <c r="P24" s="44">
        <v>0.75</v>
      </c>
      <c r="Q24" s="44">
        <v>0.83333333333333337</v>
      </c>
      <c r="R24" s="41">
        <f>IF(Table242724[[#This Row],[End of Work (time)]]&lt;Table242724[[#This Row],[Start of Work (time)]],Table242724[[#This Row],[End of Work (time)]]+24-Table242724[[#This Row],[Start of Work (time)]],Table242724[[#This Row],[End of Work (time)]]-Table242724[[#This Row],[Start of Work (time)]])</f>
        <v>0.33333333333333331</v>
      </c>
      <c r="S24" s="28">
        <f>(IF(Table242724[[#This Row],[Time of Arrival (at Home)]]&lt;Table242724[[#This Row],[Time of Departure (from Work)]],Table242724[[#This Row],[Time of Arrival (at Home)]]+24-Table242724[[#This Row],[Time of Departure (from Work)]],Table242724[[#This Row],[Time of Arrival (at Home)]]-Table242724[[#This Row],[Time of Departure (from Work)]]))</f>
        <v>8.333333333333337E-2</v>
      </c>
      <c r="T24">
        <v>13</v>
      </c>
      <c r="U24" s="15">
        <f>Table242724[[#This Row],[Travel Time2]]+Table242724[[#This Row],[Travel Time]]</f>
        <v>0.10416666666666669</v>
      </c>
      <c r="V24" s="16">
        <f>HOUR(Table242724[[#This Row],[Total Travel Time]])+MINUTE(Table242724[[#This Row],[Total Travel Time]])/60</f>
        <v>2.5</v>
      </c>
      <c r="W24" s="17">
        <f>Table242724[[#This Row],[Total travel time in hr]]/(Table242724[[#This Row],[Total travel time in hr]]+HOUR(Table242724[[#This Row],[Total Work Hours]])+MINUTE(Table242724[[#This Row],[Total Work Hours]])/60)</f>
        <v>0.23809523809523808</v>
      </c>
      <c r="X24" s="18">
        <f>Table242724[[#This Row],[Total travel time in hr]]/24</f>
        <v>0.10416666666666667</v>
      </c>
      <c r="Y24" s="19">
        <f>Table242724[[#This Row],[Total travel time in hr]]*261</f>
        <v>652.5</v>
      </c>
      <c r="Z24" s="19">
        <f>Table242724[[#This Row],[Total travel time (hr) in a year (261 days)]]/24</f>
        <v>27.1875</v>
      </c>
      <c r="AA24" s="47">
        <f>Table242724[[#This Row],[Travel cost]]+Table242724[[#This Row],[Travel cost ]]</f>
        <v>26</v>
      </c>
      <c r="AB24" s="47">
        <f>Table242724[[#This Row],[Total Cost]]*261</f>
        <v>6786</v>
      </c>
    </row>
    <row r="25" spans="1:28" x14ac:dyDescent="0.25">
      <c r="A25" t="s">
        <v>99</v>
      </c>
      <c r="B25" t="s">
        <v>49</v>
      </c>
      <c r="C25" t="s">
        <v>53</v>
      </c>
      <c r="D25" t="s">
        <v>25</v>
      </c>
      <c r="E25" t="s">
        <v>29</v>
      </c>
      <c r="F25" t="s">
        <v>59</v>
      </c>
      <c r="G25"/>
      <c r="H25" t="s">
        <v>62</v>
      </c>
      <c r="I25"/>
      <c r="J25" s="21">
        <v>0.58333333333333337</v>
      </c>
      <c r="K25" s="14">
        <v>0.5</v>
      </c>
      <c r="L25" s="14">
        <v>0.58333333333333337</v>
      </c>
      <c r="M25"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8.333333333333337E-2</v>
      </c>
      <c r="N25">
        <v>55</v>
      </c>
      <c r="O25" s="21">
        <v>2.0833333333333332E-2</v>
      </c>
      <c r="P25" s="44">
        <v>4.1666666666666664E-2</v>
      </c>
      <c r="Q25" s="44">
        <v>6.25E-2</v>
      </c>
      <c r="R25" s="41">
        <f>IF(Table242724[[#This Row],[End of Work (time)]]&lt;Table242724[[#This Row],[Start of Work (time)]],Table242724[[#This Row],[End of Work (time)]]+24-Table242724[[#This Row],[Start of Work (time)]],Table242724[[#This Row],[End of Work (time)]]-Table242724[[#This Row],[Start of Work (time)]])</f>
        <v>23.4375</v>
      </c>
      <c r="S25" s="28">
        <f>(IF(Table242724[[#This Row],[Time of Arrival (at Home)]]&lt;Table242724[[#This Row],[Time of Departure (from Work)]],Table242724[[#This Row],[Time of Arrival (at Home)]]+24-Table242724[[#This Row],[Time of Departure (from Work)]],Table242724[[#This Row],[Time of Arrival (at Home)]]-Table242724[[#This Row],[Time of Departure (from Work)]]))</f>
        <v>2.0833333333333336E-2</v>
      </c>
      <c r="T25">
        <v>0</v>
      </c>
      <c r="U25" s="15">
        <f>Table242724[[#This Row],[Travel Time2]]+Table242724[[#This Row],[Travel Time]]</f>
        <v>0.10416666666666671</v>
      </c>
      <c r="V25" s="16">
        <f>HOUR(Table242724[[#This Row],[Total Travel Time]])+MINUTE(Table242724[[#This Row],[Total Travel Time]])/60</f>
        <v>2.5</v>
      </c>
      <c r="W25" s="17">
        <f>Table242724[[#This Row],[Total travel time in hr]]/(Table242724[[#This Row],[Total travel time in hr]]+HOUR(Table242724[[#This Row],[Total Work Hours]])+MINUTE(Table242724[[#This Row],[Total Work Hours]])/60)</f>
        <v>0.19230769230769232</v>
      </c>
      <c r="X25" s="18">
        <f>Table242724[[#This Row],[Total travel time in hr]]/24</f>
        <v>0.10416666666666667</v>
      </c>
      <c r="Y25" s="19">
        <f>Table242724[[#This Row],[Total travel time in hr]]*261</f>
        <v>652.5</v>
      </c>
      <c r="Z25" s="19">
        <f>Table242724[[#This Row],[Total travel time (hr) in a year (261 days)]]/24</f>
        <v>27.1875</v>
      </c>
      <c r="AA25" s="47">
        <f>Table242724[[#This Row],[Travel cost]]+Table242724[[#This Row],[Travel cost ]]</f>
        <v>55</v>
      </c>
      <c r="AB25" s="47">
        <f>Table242724[[#This Row],[Total Cost]]*261</f>
        <v>14355</v>
      </c>
    </row>
    <row r="26" spans="1:28" x14ac:dyDescent="0.25">
      <c r="A26" t="s">
        <v>112</v>
      </c>
      <c r="B26" t="s">
        <v>69</v>
      </c>
      <c r="C26" t="s">
        <v>50</v>
      </c>
      <c r="D26" t="s">
        <v>26</v>
      </c>
      <c r="E26" t="s">
        <v>29</v>
      </c>
      <c r="F26" t="s">
        <v>70</v>
      </c>
      <c r="G26"/>
      <c r="H26" t="s">
        <v>61</v>
      </c>
      <c r="I26"/>
      <c r="J26" s="21">
        <v>0.58333333333333337</v>
      </c>
      <c r="K26" s="14">
        <v>0.5</v>
      </c>
      <c r="L26" s="14">
        <v>0.5625</v>
      </c>
      <c r="M26"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6.25E-2</v>
      </c>
      <c r="N26">
        <v>50</v>
      </c>
      <c r="O26" s="21">
        <v>0.92361111111111116</v>
      </c>
      <c r="P26" s="44">
        <v>0.92708333333333337</v>
      </c>
      <c r="Q26" s="44">
        <v>0.97916666666666663</v>
      </c>
      <c r="R26" s="41">
        <f>IF(Table242724[[#This Row],[End of Work (time)]]&lt;Table242724[[#This Row],[Start of Work (time)]],Table242724[[#This Row],[End of Work (time)]]+24-Table242724[[#This Row],[Start of Work (time)]],Table242724[[#This Row],[End of Work (time)]]-Table242724[[#This Row],[Start of Work (time)]])</f>
        <v>0.34027777777777779</v>
      </c>
      <c r="S26" s="28">
        <f>(IF(Table242724[[#This Row],[Time of Arrival (at Home)]]&lt;Table242724[[#This Row],[Time of Departure (from Work)]],Table242724[[#This Row],[Time of Arrival (at Home)]]+24-Table242724[[#This Row],[Time of Departure (from Work)]],Table242724[[#This Row],[Time of Arrival (at Home)]]-Table242724[[#This Row],[Time of Departure (from Work)]]))</f>
        <v>5.2083333333333259E-2</v>
      </c>
      <c r="T26">
        <v>0</v>
      </c>
      <c r="U26" s="15">
        <f>Table242724[[#This Row],[Travel Time2]]+Table242724[[#This Row],[Travel Time]]</f>
        <v>0.11458333333333326</v>
      </c>
      <c r="V26" s="16">
        <f>HOUR(Table242724[[#This Row],[Total Travel Time]])+MINUTE(Table242724[[#This Row],[Total Travel Time]])/60</f>
        <v>2.75</v>
      </c>
      <c r="W26" s="17">
        <f>Table242724[[#This Row],[Total travel time in hr]]/(Table242724[[#This Row],[Total travel time in hr]]+HOUR(Table242724[[#This Row],[Total Work Hours]])+MINUTE(Table242724[[#This Row],[Total Work Hours]])/60)</f>
        <v>0.25190839694656492</v>
      </c>
      <c r="X26" s="18">
        <f>Table242724[[#This Row],[Total travel time in hr]]/24</f>
        <v>0.11458333333333333</v>
      </c>
      <c r="Y26" s="19">
        <f>Table242724[[#This Row],[Total travel time in hr]]*261</f>
        <v>717.75</v>
      </c>
      <c r="Z26" s="19">
        <f>Table242724[[#This Row],[Total travel time (hr) in a year (261 days)]]/24</f>
        <v>29.90625</v>
      </c>
      <c r="AA26" s="47">
        <f>Table242724[[#This Row],[Travel cost]]+Table242724[[#This Row],[Travel cost ]]</f>
        <v>50</v>
      </c>
      <c r="AB26" s="47">
        <f>Table242724[[#This Row],[Total Cost]]*261</f>
        <v>13050</v>
      </c>
    </row>
    <row r="27" spans="1:28" x14ac:dyDescent="0.25">
      <c r="A27" t="s">
        <v>92</v>
      </c>
      <c r="B27" t="s">
        <v>49</v>
      </c>
      <c r="C27" t="s">
        <v>50</v>
      </c>
      <c r="D27" t="s">
        <v>25</v>
      </c>
      <c r="E27" t="s">
        <v>29</v>
      </c>
      <c r="F27" t="s">
        <v>52</v>
      </c>
      <c r="G27"/>
      <c r="H27" t="s">
        <v>54</v>
      </c>
      <c r="I27"/>
      <c r="J27" s="21">
        <v>0.375</v>
      </c>
      <c r="K27" s="14">
        <v>0.3125</v>
      </c>
      <c r="L27" s="14">
        <v>0.36458333333333331</v>
      </c>
      <c r="M27"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5.2083333333333315E-2</v>
      </c>
      <c r="N27">
        <v>18</v>
      </c>
      <c r="O27" s="21">
        <v>0.79166666666666663</v>
      </c>
      <c r="P27" s="44">
        <v>0.79166666666666663</v>
      </c>
      <c r="Q27" s="44">
        <v>0.85416666666666663</v>
      </c>
      <c r="R27" s="41">
        <f>IF(Table242724[[#This Row],[End of Work (time)]]&lt;Table242724[[#This Row],[Start of Work (time)]],Table242724[[#This Row],[End of Work (time)]]+24-Table242724[[#This Row],[Start of Work (time)]],Table242724[[#This Row],[End of Work (time)]]-Table242724[[#This Row],[Start of Work (time)]])</f>
        <v>0.41666666666666663</v>
      </c>
      <c r="S27" s="28">
        <f>(IF(Table242724[[#This Row],[Time of Arrival (at Home)]]&lt;Table242724[[#This Row],[Time of Departure (from Work)]],Table242724[[#This Row],[Time of Arrival (at Home)]]+24-Table242724[[#This Row],[Time of Departure (from Work)]],Table242724[[#This Row],[Time of Arrival (at Home)]]-Table242724[[#This Row],[Time of Departure (from Work)]]))</f>
        <v>6.25E-2</v>
      </c>
      <c r="T27">
        <v>18</v>
      </c>
      <c r="U27" s="15">
        <f>Table242724[[#This Row],[Travel Time2]]+Table242724[[#This Row],[Travel Time]]</f>
        <v>0.11458333333333331</v>
      </c>
      <c r="V27" s="16">
        <f>HOUR(Table242724[[#This Row],[Total Travel Time]])+MINUTE(Table242724[[#This Row],[Total Travel Time]])/60</f>
        <v>2.75</v>
      </c>
      <c r="W27" s="17">
        <f>Table242724[[#This Row],[Total travel time in hr]]/(Table242724[[#This Row],[Total travel time in hr]]+HOUR(Table242724[[#This Row],[Total Work Hours]])+MINUTE(Table242724[[#This Row],[Total Work Hours]])/60)</f>
        <v>0.21568627450980393</v>
      </c>
      <c r="X27" s="18">
        <f>Table242724[[#This Row],[Total travel time in hr]]/24</f>
        <v>0.11458333333333333</v>
      </c>
      <c r="Y27" s="19">
        <f>Table242724[[#This Row],[Total travel time in hr]]*261</f>
        <v>717.75</v>
      </c>
      <c r="Z27" s="19">
        <f>Table242724[[#This Row],[Total travel time (hr) in a year (261 days)]]/24</f>
        <v>29.90625</v>
      </c>
      <c r="AA27" s="47">
        <f>Table242724[[#This Row],[Travel cost]]+Table242724[[#This Row],[Travel cost ]]</f>
        <v>36</v>
      </c>
      <c r="AB27" s="47">
        <f>Table242724[[#This Row],[Total Cost]]*261</f>
        <v>9396</v>
      </c>
    </row>
    <row r="28" spans="1:28" x14ac:dyDescent="0.25">
      <c r="A28" t="s">
        <v>100</v>
      </c>
      <c r="B28" t="s">
        <v>49</v>
      </c>
      <c r="C28" t="s">
        <v>50</v>
      </c>
      <c r="D28" t="s">
        <v>25</v>
      </c>
      <c r="E28" t="s">
        <v>27</v>
      </c>
      <c r="F28" t="s">
        <v>55</v>
      </c>
      <c r="G28" t="s">
        <v>58</v>
      </c>
      <c r="H28" t="s">
        <v>61</v>
      </c>
      <c r="I28"/>
      <c r="J28" s="21">
        <v>0.33333333333333331</v>
      </c>
      <c r="K28" s="14">
        <v>0.29166666666666669</v>
      </c>
      <c r="L28" s="14">
        <v>0.33333333333333331</v>
      </c>
      <c r="M28"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4.166666666666663E-2</v>
      </c>
      <c r="N28">
        <v>100</v>
      </c>
      <c r="O28" s="21">
        <v>0.70833333333333337</v>
      </c>
      <c r="P28" s="44">
        <v>0.70833333333333337</v>
      </c>
      <c r="Q28" s="44">
        <v>0.79166666666666663</v>
      </c>
      <c r="R28" s="41">
        <f>IF(Table242724[[#This Row],[End of Work (time)]]&lt;Table242724[[#This Row],[Start of Work (time)]],Table242724[[#This Row],[End of Work (time)]]+24-Table242724[[#This Row],[Start of Work (time)]],Table242724[[#This Row],[End of Work (time)]]-Table242724[[#This Row],[Start of Work (time)]])</f>
        <v>0.37500000000000006</v>
      </c>
      <c r="S28" s="28">
        <f>(IF(Table242724[[#This Row],[Time of Arrival (at Home)]]&lt;Table242724[[#This Row],[Time of Departure (from Work)]],Table242724[[#This Row],[Time of Arrival (at Home)]]+24-Table242724[[#This Row],[Time of Departure (from Work)]],Table242724[[#This Row],[Time of Arrival (at Home)]]-Table242724[[#This Row],[Time of Departure (from Work)]]))</f>
        <v>8.3333333333333259E-2</v>
      </c>
      <c r="T28">
        <v>100</v>
      </c>
      <c r="U28" s="15">
        <f>Table242724[[#This Row],[Travel Time2]]+Table242724[[#This Row],[Travel Time]]</f>
        <v>0.12499999999999989</v>
      </c>
      <c r="V28" s="16">
        <f>HOUR(Table242724[[#This Row],[Total Travel Time]])+MINUTE(Table242724[[#This Row],[Total Travel Time]])/60</f>
        <v>3</v>
      </c>
      <c r="W28" s="17">
        <f>Table242724[[#This Row],[Total travel time in hr]]/(Table242724[[#This Row],[Total travel time in hr]]+HOUR(Table242724[[#This Row],[Total Work Hours]])+MINUTE(Table242724[[#This Row],[Total Work Hours]])/60)</f>
        <v>0.25</v>
      </c>
      <c r="X28" s="18">
        <f>Table242724[[#This Row],[Total travel time in hr]]/24</f>
        <v>0.125</v>
      </c>
      <c r="Y28" s="19">
        <f>Table242724[[#This Row],[Total travel time in hr]]*261</f>
        <v>783</v>
      </c>
      <c r="Z28" s="19">
        <f>Table242724[[#This Row],[Total travel time (hr) in a year (261 days)]]/24</f>
        <v>32.625</v>
      </c>
      <c r="AA28" s="47">
        <f>Table242724[[#This Row],[Travel cost]]+Table242724[[#This Row],[Travel cost ]]</f>
        <v>200</v>
      </c>
      <c r="AB28" s="47">
        <f>Table242724[[#This Row],[Total Cost]]*261</f>
        <v>52200</v>
      </c>
    </row>
    <row r="29" spans="1:28" x14ac:dyDescent="0.25">
      <c r="A29" t="s">
        <v>93</v>
      </c>
      <c r="B29" t="s">
        <v>64</v>
      </c>
      <c r="C29" t="s">
        <v>50</v>
      </c>
      <c r="D29" t="s">
        <v>25</v>
      </c>
      <c r="E29" t="s">
        <v>29</v>
      </c>
      <c r="F29" t="s">
        <v>52</v>
      </c>
      <c r="G29"/>
      <c r="H29" t="s">
        <v>54</v>
      </c>
      <c r="I29"/>
      <c r="J29" s="21">
        <v>0.79166666666666663</v>
      </c>
      <c r="K29" s="14">
        <v>0.70833333333333337</v>
      </c>
      <c r="L29" s="14">
        <v>0.79166666666666663</v>
      </c>
      <c r="M29"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8.3333333333333259E-2</v>
      </c>
      <c r="N29">
        <v>16</v>
      </c>
      <c r="O29" s="21">
        <v>0.20833333333333334</v>
      </c>
      <c r="P29" s="44">
        <v>0.20833333333333334</v>
      </c>
      <c r="Q29" s="44">
        <v>0.25</v>
      </c>
      <c r="R29" s="41">
        <f>IF(Table242724[[#This Row],[End of Work (time)]]&lt;Table242724[[#This Row],[Start of Work (time)]],Table242724[[#This Row],[End of Work (time)]]+24-Table242724[[#This Row],[Start of Work (time)]],Table242724[[#This Row],[End of Work (time)]]-Table242724[[#This Row],[Start of Work (time)]])</f>
        <v>23.416666666666664</v>
      </c>
      <c r="S29" s="28">
        <f>(IF(Table242724[[#This Row],[Time of Arrival (at Home)]]&lt;Table242724[[#This Row],[Time of Departure (from Work)]],Table242724[[#This Row],[Time of Arrival (at Home)]]+24-Table242724[[#This Row],[Time of Departure (from Work)]],Table242724[[#This Row],[Time of Arrival (at Home)]]-Table242724[[#This Row],[Time of Departure (from Work)]]))</f>
        <v>4.1666666666666657E-2</v>
      </c>
      <c r="T29"/>
      <c r="U29" s="15">
        <f>Table242724[[#This Row],[Travel Time2]]+Table242724[[#This Row],[Travel Time]]</f>
        <v>0.12499999999999992</v>
      </c>
      <c r="V29" s="16">
        <f>HOUR(Table242724[[#This Row],[Total Travel Time]])+MINUTE(Table242724[[#This Row],[Total Travel Time]])/60</f>
        <v>3</v>
      </c>
      <c r="W29" s="17">
        <f>Table242724[[#This Row],[Total travel time in hr]]/(Table242724[[#This Row],[Total travel time in hr]]+HOUR(Table242724[[#This Row],[Total Work Hours]])+MINUTE(Table242724[[#This Row],[Total Work Hours]])/60)</f>
        <v>0.23076923076923078</v>
      </c>
      <c r="X29" s="18">
        <f>Table242724[[#This Row],[Total travel time in hr]]/24</f>
        <v>0.125</v>
      </c>
      <c r="Y29" s="19">
        <f>Table242724[[#This Row],[Total travel time in hr]]*261</f>
        <v>783</v>
      </c>
      <c r="Z29" s="19">
        <f>Table242724[[#This Row],[Total travel time (hr) in a year (261 days)]]/24</f>
        <v>32.625</v>
      </c>
      <c r="AA29" s="47">
        <f>Table242724[[#This Row],[Travel cost]]+Table242724[[#This Row],[Travel cost ]]</f>
        <v>16</v>
      </c>
      <c r="AB29" s="47">
        <f>Table242724[[#This Row],[Total Cost]]*261</f>
        <v>4176</v>
      </c>
    </row>
    <row r="30" spans="1:28" x14ac:dyDescent="0.25">
      <c r="A30" t="s">
        <v>115</v>
      </c>
      <c r="B30" t="s">
        <v>49</v>
      </c>
      <c r="C30" t="s">
        <v>50</v>
      </c>
      <c r="D30" t="s">
        <v>25</v>
      </c>
      <c r="E30" t="s">
        <v>29</v>
      </c>
      <c r="F30" t="s">
        <v>55</v>
      </c>
      <c r="G30" t="s">
        <v>71</v>
      </c>
      <c r="H30" t="s">
        <v>63</v>
      </c>
      <c r="I30"/>
      <c r="J30" s="21">
        <v>0.35416666666666669</v>
      </c>
      <c r="K30" s="14">
        <v>0.27083333333333331</v>
      </c>
      <c r="L30" s="14">
        <v>0.33333333333333331</v>
      </c>
      <c r="M30"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6.25E-2</v>
      </c>
      <c r="N30">
        <v>35</v>
      </c>
      <c r="O30" s="21">
        <v>0.75</v>
      </c>
      <c r="P30" s="44">
        <v>0.75</v>
      </c>
      <c r="Q30" s="44">
        <v>0.8125</v>
      </c>
      <c r="R30" s="41">
        <f>IF(Table242724[[#This Row],[End of Work (time)]]&lt;Table242724[[#This Row],[Start of Work (time)]],Table242724[[#This Row],[End of Work (time)]]+24-Table242724[[#This Row],[Start of Work (time)]],Table242724[[#This Row],[End of Work (time)]]-Table242724[[#This Row],[Start of Work (time)]])</f>
        <v>0.39583333333333331</v>
      </c>
      <c r="S30" s="28">
        <f>(IF(Table242724[[#This Row],[Time of Arrival (at Home)]]&lt;Table242724[[#This Row],[Time of Departure (from Work)]],Table242724[[#This Row],[Time of Arrival (at Home)]]+24-Table242724[[#This Row],[Time of Departure (from Work)]],Table242724[[#This Row],[Time of Arrival (at Home)]]-Table242724[[#This Row],[Time of Departure (from Work)]]))</f>
        <v>6.25E-2</v>
      </c>
      <c r="T30">
        <v>50</v>
      </c>
      <c r="U30" s="15">
        <f>Table242724[[#This Row],[Travel Time2]]+Table242724[[#This Row],[Travel Time]]</f>
        <v>0.125</v>
      </c>
      <c r="V30" s="16">
        <f>HOUR(Table242724[[#This Row],[Total Travel Time]])+MINUTE(Table242724[[#This Row],[Total Travel Time]])/60</f>
        <v>3</v>
      </c>
      <c r="W30" s="17">
        <f>Table242724[[#This Row],[Total travel time in hr]]/(Table242724[[#This Row],[Total travel time in hr]]+HOUR(Table242724[[#This Row],[Total Work Hours]])+MINUTE(Table242724[[#This Row],[Total Work Hours]])/60)</f>
        <v>0.24</v>
      </c>
      <c r="X30" s="18">
        <f>Table242724[[#This Row],[Total travel time in hr]]/24</f>
        <v>0.125</v>
      </c>
      <c r="Y30" s="19">
        <f>Table242724[[#This Row],[Total travel time in hr]]*261</f>
        <v>783</v>
      </c>
      <c r="Z30" s="19">
        <f>Table242724[[#This Row],[Total travel time (hr) in a year (261 days)]]/24</f>
        <v>32.625</v>
      </c>
      <c r="AA30" s="47">
        <f>Table242724[[#This Row],[Travel cost]]+Table242724[[#This Row],[Travel cost ]]</f>
        <v>85</v>
      </c>
      <c r="AB30" s="47">
        <f>Table242724[[#This Row],[Total Cost]]*261</f>
        <v>22185</v>
      </c>
    </row>
    <row r="31" spans="1:28" x14ac:dyDescent="0.25">
      <c r="A31" t="s">
        <v>89</v>
      </c>
      <c r="B31" t="s">
        <v>49</v>
      </c>
      <c r="C31" t="s">
        <v>53</v>
      </c>
      <c r="D31" t="s">
        <v>25</v>
      </c>
      <c r="E31" t="s">
        <v>29</v>
      </c>
      <c r="F31" t="s">
        <v>55</v>
      </c>
      <c r="G31" t="s">
        <v>58</v>
      </c>
      <c r="H31" t="s">
        <v>55</v>
      </c>
      <c r="I31" t="s">
        <v>58</v>
      </c>
      <c r="J31" s="21">
        <v>0.33333333333333331</v>
      </c>
      <c r="K31" s="14">
        <v>0.25</v>
      </c>
      <c r="L31" s="14">
        <v>0.3125</v>
      </c>
      <c r="M31"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6.25E-2</v>
      </c>
      <c r="N31">
        <v>50</v>
      </c>
      <c r="O31" s="21">
        <v>0.70833333333333337</v>
      </c>
      <c r="P31" s="45">
        <v>0.70833333333333337</v>
      </c>
      <c r="Q31" s="45">
        <v>0.77083333333333337</v>
      </c>
      <c r="R31" s="41">
        <f>IF(Table242724[[#This Row],[End of Work (time)]]&lt;Table242724[[#This Row],[Start of Work (time)]],Table242724[[#This Row],[End of Work (time)]]+24-Table242724[[#This Row],[Start of Work (time)]],Table242724[[#This Row],[End of Work (time)]]-Table242724[[#This Row],[Start of Work (time)]])</f>
        <v>0.37500000000000006</v>
      </c>
      <c r="S31" s="28">
        <f>(IF(Table242724[[#This Row],[Time of Arrival (at Home)]]&lt;Table242724[[#This Row],[Time of Departure (from Work)]],Table242724[[#This Row],[Time of Arrival (at Home)]]+24-Table242724[[#This Row],[Time of Departure (from Work)]],Table242724[[#This Row],[Time of Arrival (at Home)]]-Table242724[[#This Row],[Time of Departure (from Work)]]))</f>
        <v>6.25E-2</v>
      </c>
      <c r="T31">
        <v>85</v>
      </c>
      <c r="U31" s="15">
        <f>Table242724[[#This Row],[Travel Time2]]+Table242724[[#This Row],[Travel Time]]</f>
        <v>0.125</v>
      </c>
      <c r="V31" s="16">
        <f>HOUR(Table242724[[#This Row],[Total Travel Time]])+MINUTE(Table242724[[#This Row],[Total Travel Time]])/60</f>
        <v>3</v>
      </c>
      <c r="W31" s="17">
        <f>Table242724[[#This Row],[Total travel time in hr]]/(Table242724[[#This Row],[Total travel time in hr]]+HOUR(Table242724[[#This Row],[Total Work Hours]])+MINUTE(Table242724[[#This Row],[Total Work Hours]])/60)</f>
        <v>0.25</v>
      </c>
      <c r="X31" s="18">
        <f>Table242724[[#This Row],[Total travel time in hr]]/24</f>
        <v>0.125</v>
      </c>
      <c r="Y31" s="19">
        <f>Table242724[[#This Row],[Total travel time in hr]]*261</f>
        <v>783</v>
      </c>
      <c r="Z31" s="19">
        <f>Table242724[[#This Row],[Total travel time (hr) in a year (261 days)]]/24</f>
        <v>32.625</v>
      </c>
      <c r="AA31" s="47">
        <f>Table242724[[#This Row],[Travel cost]]+Table242724[[#This Row],[Travel cost ]]</f>
        <v>135</v>
      </c>
      <c r="AB31" s="47">
        <f>Table242724[[#This Row],[Total Cost]]*261</f>
        <v>35235</v>
      </c>
    </row>
    <row r="32" spans="1:28" x14ac:dyDescent="0.25">
      <c r="A32" t="s">
        <v>104</v>
      </c>
      <c r="B32" t="s">
        <v>49</v>
      </c>
      <c r="C32" t="s">
        <v>53</v>
      </c>
      <c r="D32" t="s">
        <v>25</v>
      </c>
      <c r="E32" t="s">
        <v>27</v>
      </c>
      <c r="F32" t="s">
        <v>59</v>
      </c>
      <c r="G32"/>
      <c r="H32" t="s">
        <v>52</v>
      </c>
      <c r="I32"/>
      <c r="J32" s="21">
        <v>0.375</v>
      </c>
      <c r="K32" s="14">
        <v>0.32291666666666669</v>
      </c>
      <c r="L32" s="14">
        <v>0.375</v>
      </c>
      <c r="M32"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5.2083333333333315E-2</v>
      </c>
      <c r="N32">
        <v>70</v>
      </c>
      <c r="O32" s="21">
        <v>0.875</v>
      </c>
      <c r="P32" s="44">
        <v>0.83333333333333337</v>
      </c>
      <c r="Q32" s="44">
        <v>0.91666666666666663</v>
      </c>
      <c r="R32" s="41">
        <f>IF(Table242724[[#This Row],[End of Work (time)]]&lt;Table242724[[#This Row],[Start of Work (time)]],Table242724[[#This Row],[End of Work (time)]]+24-Table242724[[#This Row],[Start of Work (time)]],Table242724[[#This Row],[End of Work (time)]]-Table242724[[#This Row],[Start of Work (time)]])</f>
        <v>0.5</v>
      </c>
      <c r="S32" s="28">
        <f>(IF(Table242724[[#This Row],[Time of Arrival (at Home)]]&lt;Table242724[[#This Row],[Time of Departure (from Work)]],Table242724[[#This Row],[Time of Arrival (at Home)]]+24-Table242724[[#This Row],[Time of Departure (from Work)]],Table242724[[#This Row],[Time of Arrival (at Home)]]-Table242724[[#This Row],[Time of Departure (from Work)]]))</f>
        <v>8.3333333333333259E-2</v>
      </c>
      <c r="T32">
        <v>100</v>
      </c>
      <c r="U32" s="15">
        <f>Table242724[[#This Row],[Travel Time2]]+Table242724[[#This Row],[Travel Time]]</f>
        <v>0.13541666666666657</v>
      </c>
      <c r="V32" s="16">
        <f>HOUR(Table242724[[#This Row],[Total Travel Time]])+MINUTE(Table242724[[#This Row],[Total Travel Time]])/60</f>
        <v>3.25</v>
      </c>
      <c r="W32" s="17">
        <f>Table242724[[#This Row],[Total travel time in hr]]/(Table242724[[#This Row],[Total travel time in hr]]+HOUR(Table242724[[#This Row],[Total Work Hours]])+MINUTE(Table242724[[#This Row],[Total Work Hours]])/60)</f>
        <v>0.21311475409836064</v>
      </c>
      <c r="X32" s="18">
        <f>Table242724[[#This Row],[Total travel time in hr]]/24</f>
        <v>0.13541666666666666</v>
      </c>
      <c r="Y32" s="19">
        <f>Table242724[[#This Row],[Total travel time in hr]]*261</f>
        <v>848.25</v>
      </c>
      <c r="Z32" s="19">
        <f>Table242724[[#This Row],[Total travel time (hr) in a year (261 days)]]/24</f>
        <v>35.34375</v>
      </c>
      <c r="AA32" s="47">
        <f>Table242724[[#This Row],[Travel cost]]+Table242724[[#This Row],[Travel cost ]]</f>
        <v>170</v>
      </c>
      <c r="AB32" s="47">
        <f>Table242724[[#This Row],[Total Cost]]*261</f>
        <v>44370</v>
      </c>
    </row>
    <row r="33" spans="1:28" x14ac:dyDescent="0.25">
      <c r="A33" t="s">
        <v>109</v>
      </c>
      <c r="B33" t="s">
        <v>64</v>
      </c>
      <c r="C33" t="s">
        <v>50</v>
      </c>
      <c r="D33" t="s">
        <v>25</v>
      </c>
      <c r="E33" t="s">
        <v>29</v>
      </c>
      <c r="F33" t="s">
        <v>55</v>
      </c>
      <c r="G33" t="s">
        <v>67</v>
      </c>
      <c r="H33" t="s">
        <v>54</v>
      </c>
      <c r="I33"/>
      <c r="J33" s="21">
        <v>0.58333333333333337</v>
      </c>
      <c r="K33" s="14">
        <v>0.47916666666666669</v>
      </c>
      <c r="L33" s="14">
        <v>0.58333333333333337</v>
      </c>
      <c r="M33"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0.10416666666666669</v>
      </c>
      <c r="N33">
        <v>102</v>
      </c>
      <c r="O33" s="21">
        <v>0</v>
      </c>
      <c r="P33" s="44">
        <v>0</v>
      </c>
      <c r="Q33" s="44">
        <v>4.1666666666666664E-2</v>
      </c>
      <c r="R33" s="41">
        <f>IF(Table242724[[#This Row],[End of Work (time)]]&lt;Table242724[[#This Row],[Start of Work (time)]],Table242724[[#This Row],[End of Work (time)]]+24-Table242724[[#This Row],[Start of Work (time)]],Table242724[[#This Row],[End of Work (time)]]-Table242724[[#This Row],[Start of Work (time)]])</f>
        <v>23.416666666666668</v>
      </c>
      <c r="S33" s="28">
        <f>(IF(Table242724[[#This Row],[Time of Arrival (at Home)]]&lt;Table242724[[#This Row],[Time of Departure (from Work)]],Table242724[[#This Row],[Time of Arrival (at Home)]]+24-Table242724[[#This Row],[Time of Departure (from Work)]],Table242724[[#This Row],[Time of Arrival (at Home)]]-Table242724[[#This Row],[Time of Departure (from Work)]]))</f>
        <v>4.1666666666666664E-2</v>
      </c>
      <c r="T33">
        <v>0</v>
      </c>
      <c r="U33" s="15">
        <f>Table242724[[#This Row],[Travel Time2]]+Table242724[[#This Row],[Travel Time]]</f>
        <v>0.14583333333333334</v>
      </c>
      <c r="V33" s="16">
        <f>HOUR(Table242724[[#This Row],[Total Travel Time]])+MINUTE(Table242724[[#This Row],[Total Travel Time]])/60</f>
        <v>3.5</v>
      </c>
      <c r="W33" s="17">
        <f>Table242724[[#This Row],[Total travel time in hr]]/(Table242724[[#This Row],[Total travel time in hr]]+HOUR(Table242724[[#This Row],[Total Work Hours]])+MINUTE(Table242724[[#This Row],[Total Work Hours]])/60)</f>
        <v>0.25925925925925924</v>
      </c>
      <c r="X33" s="18">
        <f>Table242724[[#This Row],[Total travel time in hr]]/24</f>
        <v>0.14583333333333334</v>
      </c>
      <c r="Y33" s="19">
        <f>Table242724[[#This Row],[Total travel time in hr]]*261</f>
        <v>913.5</v>
      </c>
      <c r="Z33" s="19">
        <f>Table242724[[#This Row],[Total travel time (hr) in a year (261 days)]]/24</f>
        <v>38.0625</v>
      </c>
      <c r="AA33" s="47">
        <f>Table242724[[#This Row],[Travel cost]]+Table242724[[#This Row],[Travel cost ]]</f>
        <v>102</v>
      </c>
      <c r="AB33" s="47">
        <f>Table242724[[#This Row],[Total Cost]]*261</f>
        <v>26622</v>
      </c>
    </row>
    <row r="34" spans="1:28" x14ac:dyDescent="0.25">
      <c r="A34" t="s">
        <v>114</v>
      </c>
      <c r="B34" t="s">
        <v>49</v>
      </c>
      <c r="C34" t="s">
        <v>76</v>
      </c>
      <c r="D34" t="s">
        <v>25</v>
      </c>
      <c r="E34" t="s">
        <v>29</v>
      </c>
      <c r="F34" t="s">
        <v>61</v>
      </c>
      <c r="G34"/>
      <c r="H34" t="s">
        <v>52</v>
      </c>
      <c r="I34"/>
      <c r="J34" s="21">
        <v>0.41666666666666669</v>
      </c>
      <c r="K34" s="14">
        <v>0.29166666666666669</v>
      </c>
      <c r="L34" s="14">
        <v>0.39583333333333331</v>
      </c>
      <c r="M34"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0.10416666666666663</v>
      </c>
      <c r="N34">
        <v>60</v>
      </c>
      <c r="O34" s="21">
        <v>0.875</v>
      </c>
      <c r="P34" s="44">
        <v>0.875</v>
      </c>
      <c r="Q34" s="44">
        <v>0.9375</v>
      </c>
      <c r="R34" s="41">
        <f>IF(Table242724[[#This Row],[End of Work (time)]]&lt;Table242724[[#This Row],[Start of Work (time)]],Table242724[[#This Row],[End of Work (time)]]+24-Table242724[[#This Row],[Start of Work (time)]],Table242724[[#This Row],[End of Work (time)]]-Table242724[[#This Row],[Start of Work (time)]])</f>
        <v>0.45833333333333331</v>
      </c>
      <c r="S34" s="28">
        <f>(IF(Table242724[[#This Row],[Time of Arrival (at Home)]]&lt;Table242724[[#This Row],[Time of Departure (from Work)]],Table242724[[#This Row],[Time of Arrival (at Home)]]+24-Table242724[[#This Row],[Time of Departure (from Work)]],Table242724[[#This Row],[Time of Arrival (at Home)]]-Table242724[[#This Row],[Time of Departure (from Work)]]))</f>
        <v>6.25E-2</v>
      </c>
      <c r="T34">
        <v>60</v>
      </c>
      <c r="U34" s="15">
        <f>Table242724[[#This Row],[Travel Time2]]+Table242724[[#This Row],[Travel Time]]</f>
        <v>0.16666666666666663</v>
      </c>
      <c r="V34" s="16">
        <f>HOUR(Table242724[[#This Row],[Total Travel Time]])+MINUTE(Table242724[[#This Row],[Total Travel Time]])/60</f>
        <v>4</v>
      </c>
      <c r="W34" s="17">
        <f>Table242724[[#This Row],[Total travel time in hr]]/(Table242724[[#This Row],[Total travel time in hr]]+HOUR(Table242724[[#This Row],[Total Work Hours]])+MINUTE(Table242724[[#This Row],[Total Work Hours]])/60)</f>
        <v>0.26666666666666666</v>
      </c>
      <c r="X34" s="18">
        <f>Table242724[[#This Row],[Total travel time in hr]]/24</f>
        <v>0.16666666666666666</v>
      </c>
      <c r="Y34" s="19">
        <f>Table242724[[#This Row],[Total travel time in hr]]*261</f>
        <v>1044</v>
      </c>
      <c r="Z34" s="19">
        <f>Table242724[[#This Row],[Total travel time (hr) in a year (261 days)]]/24</f>
        <v>43.5</v>
      </c>
      <c r="AA34" s="47">
        <f>Table242724[[#This Row],[Travel cost]]+Table242724[[#This Row],[Travel cost ]]</f>
        <v>120</v>
      </c>
      <c r="AB34" s="47">
        <f>Table242724[[#This Row],[Total Cost]]*261</f>
        <v>31320</v>
      </c>
    </row>
    <row r="35" spans="1:28" x14ac:dyDescent="0.25">
      <c r="A35" t="s">
        <v>106</v>
      </c>
      <c r="B35" t="s">
        <v>49</v>
      </c>
      <c r="C35" t="s">
        <v>50</v>
      </c>
      <c r="D35" t="s">
        <v>25</v>
      </c>
      <c r="E35" t="s">
        <v>29</v>
      </c>
      <c r="F35" t="s">
        <v>59</v>
      </c>
      <c r="G35"/>
      <c r="H35" t="s">
        <v>52</v>
      </c>
      <c r="I35"/>
      <c r="J35" s="21">
        <v>0.33333333333333331</v>
      </c>
      <c r="K35" s="14">
        <v>0.22916666666666666</v>
      </c>
      <c r="L35" s="14">
        <v>0.29166666666666669</v>
      </c>
      <c r="M35"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6.2500000000000028E-2</v>
      </c>
      <c r="N35">
        <v>45</v>
      </c>
      <c r="O35" s="21">
        <v>0.70833333333333337</v>
      </c>
      <c r="P35" s="44">
        <v>0.70833333333333337</v>
      </c>
      <c r="Q35" s="44">
        <v>0.8125</v>
      </c>
      <c r="R35" s="41">
        <f>IF(Table242724[[#This Row],[End of Work (time)]]&lt;Table242724[[#This Row],[Start of Work (time)]],Table242724[[#This Row],[End of Work (time)]]+24-Table242724[[#This Row],[Start of Work (time)]],Table242724[[#This Row],[End of Work (time)]]-Table242724[[#This Row],[Start of Work (time)]])</f>
        <v>0.37500000000000006</v>
      </c>
      <c r="S35" s="28">
        <f>(IF(Table242724[[#This Row],[Time of Arrival (at Home)]]&lt;Table242724[[#This Row],[Time of Departure (from Work)]],Table242724[[#This Row],[Time of Arrival (at Home)]]+24-Table242724[[#This Row],[Time of Departure (from Work)]],Table242724[[#This Row],[Time of Arrival (at Home)]]-Table242724[[#This Row],[Time of Departure (from Work)]]))</f>
        <v>0.10416666666666663</v>
      </c>
      <c r="T35">
        <v>45</v>
      </c>
      <c r="U35" s="15">
        <f>Table242724[[#This Row],[Travel Time2]]+Table242724[[#This Row],[Travel Time]]</f>
        <v>0.16666666666666666</v>
      </c>
      <c r="V35" s="16">
        <f>HOUR(Table242724[[#This Row],[Total Travel Time]])+MINUTE(Table242724[[#This Row],[Total Travel Time]])/60</f>
        <v>4</v>
      </c>
      <c r="W35" s="17">
        <f>Table242724[[#This Row],[Total travel time in hr]]/(Table242724[[#This Row],[Total travel time in hr]]+HOUR(Table242724[[#This Row],[Total Work Hours]])+MINUTE(Table242724[[#This Row],[Total Work Hours]])/60)</f>
        <v>0.30769230769230771</v>
      </c>
      <c r="X35" s="18">
        <f>Table242724[[#This Row],[Total travel time in hr]]/24</f>
        <v>0.16666666666666666</v>
      </c>
      <c r="Y35" s="19">
        <f>Table242724[[#This Row],[Total travel time in hr]]*261</f>
        <v>1044</v>
      </c>
      <c r="Z35" s="19">
        <f>Table242724[[#This Row],[Total travel time (hr) in a year (261 days)]]/24</f>
        <v>43.5</v>
      </c>
      <c r="AA35" s="47">
        <f>Table242724[[#This Row],[Travel cost]]+Table242724[[#This Row],[Travel cost ]]</f>
        <v>90</v>
      </c>
      <c r="AB35" s="47">
        <f>Table242724[[#This Row],[Total Cost]]*261</f>
        <v>23490</v>
      </c>
    </row>
    <row r="36" spans="1:28" x14ac:dyDescent="0.25">
      <c r="A36" t="s">
        <v>101</v>
      </c>
      <c r="B36" t="s">
        <v>49</v>
      </c>
      <c r="C36" t="s">
        <v>53</v>
      </c>
      <c r="D36" t="s">
        <v>25</v>
      </c>
      <c r="E36" t="s">
        <v>29</v>
      </c>
      <c r="F36" t="s">
        <v>52</v>
      </c>
      <c r="G36"/>
      <c r="H36" t="s">
        <v>61</v>
      </c>
      <c r="I36"/>
      <c r="J36" s="21">
        <v>0.25</v>
      </c>
      <c r="K36" s="14">
        <v>0.1875</v>
      </c>
      <c r="L36" s="14">
        <v>0.27083333333333331</v>
      </c>
      <c r="M36"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8.3333333333333315E-2</v>
      </c>
      <c r="N36">
        <v>100</v>
      </c>
      <c r="O36" s="21">
        <v>0.6875</v>
      </c>
      <c r="P36" s="44">
        <v>0.66666666666666663</v>
      </c>
      <c r="Q36" s="44">
        <v>0.75</v>
      </c>
      <c r="R36" s="41">
        <f>IF(Table242724[[#This Row],[End of Work (time)]]&lt;Table242724[[#This Row],[Start of Work (time)]],Table242724[[#This Row],[End of Work (time)]]+24-Table242724[[#This Row],[Start of Work (time)]],Table242724[[#This Row],[End of Work (time)]]-Table242724[[#This Row],[Start of Work (time)]])</f>
        <v>0.4375</v>
      </c>
      <c r="S36" s="28">
        <f>(IF(Table242724[[#This Row],[Time of Arrival (at Home)]]&lt;Table242724[[#This Row],[Time of Departure (from Work)]],Table242724[[#This Row],[Time of Arrival (at Home)]]+24-Table242724[[#This Row],[Time of Departure (from Work)]],Table242724[[#This Row],[Time of Arrival (at Home)]]-Table242724[[#This Row],[Time of Departure (from Work)]]))</f>
        <v>8.333333333333337E-2</v>
      </c>
      <c r="T36">
        <v>100</v>
      </c>
      <c r="U36" s="15">
        <f>Table242724[[#This Row],[Travel Time2]]+Table242724[[#This Row],[Travel Time]]</f>
        <v>0.16666666666666669</v>
      </c>
      <c r="V36" s="16">
        <f>HOUR(Table242724[[#This Row],[Total Travel Time]])+MINUTE(Table242724[[#This Row],[Total Travel Time]])/60</f>
        <v>4</v>
      </c>
      <c r="W36" s="17">
        <f>Table242724[[#This Row],[Total travel time in hr]]/(Table242724[[#This Row],[Total travel time in hr]]+HOUR(Table242724[[#This Row],[Total Work Hours]])+MINUTE(Table242724[[#This Row],[Total Work Hours]])/60)</f>
        <v>0.27586206896551724</v>
      </c>
      <c r="X36" s="18">
        <f>Table242724[[#This Row],[Total travel time in hr]]/24</f>
        <v>0.16666666666666666</v>
      </c>
      <c r="Y36" s="19">
        <f>Table242724[[#This Row],[Total travel time in hr]]*261</f>
        <v>1044</v>
      </c>
      <c r="Z36" s="19">
        <f>Table242724[[#This Row],[Total travel time (hr) in a year (261 days)]]/24</f>
        <v>43.5</v>
      </c>
      <c r="AA36" s="47">
        <f>Table242724[[#This Row],[Travel cost]]+Table242724[[#This Row],[Travel cost ]]</f>
        <v>200</v>
      </c>
      <c r="AB36" s="47">
        <f>Table242724[[#This Row],[Total Cost]]*261</f>
        <v>52200</v>
      </c>
    </row>
    <row r="37" spans="1:28" x14ac:dyDescent="0.25">
      <c r="A37" t="s">
        <v>105</v>
      </c>
      <c r="B37" t="s">
        <v>49</v>
      </c>
      <c r="C37" t="s">
        <v>50</v>
      </c>
      <c r="D37" t="s">
        <v>25</v>
      </c>
      <c r="E37" t="s">
        <v>29</v>
      </c>
      <c r="F37" t="s">
        <v>55</v>
      </c>
      <c r="G37" t="s">
        <v>66</v>
      </c>
      <c r="H37" t="s">
        <v>54</v>
      </c>
      <c r="I37"/>
      <c r="J37" s="21">
        <v>0.41666666666666669</v>
      </c>
      <c r="K37" s="14">
        <v>0.29166666666666669</v>
      </c>
      <c r="L37" s="14">
        <v>0.375</v>
      </c>
      <c r="M37"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8.3333333333333315E-2</v>
      </c>
      <c r="N37">
        <v>60</v>
      </c>
      <c r="O37" s="21">
        <v>0.79166666666666663</v>
      </c>
      <c r="P37" s="44">
        <v>0.79166666666666663</v>
      </c>
      <c r="Q37" s="44">
        <v>0.875</v>
      </c>
      <c r="R37" s="41">
        <f>IF(Table242724[[#This Row],[End of Work (time)]]&lt;Table242724[[#This Row],[Start of Work (time)]],Table242724[[#This Row],[End of Work (time)]]+24-Table242724[[#This Row],[Start of Work (time)]],Table242724[[#This Row],[End of Work (time)]]-Table242724[[#This Row],[Start of Work (time)]])</f>
        <v>0.37499999999999994</v>
      </c>
      <c r="S37" s="28">
        <f>(IF(Table242724[[#This Row],[Time of Arrival (at Home)]]&lt;Table242724[[#This Row],[Time of Departure (from Work)]],Table242724[[#This Row],[Time of Arrival (at Home)]]+24-Table242724[[#This Row],[Time of Departure (from Work)]],Table242724[[#This Row],[Time of Arrival (at Home)]]-Table242724[[#This Row],[Time of Departure (from Work)]]))</f>
        <v>8.333333333333337E-2</v>
      </c>
      <c r="T37">
        <v>65</v>
      </c>
      <c r="U37" s="15">
        <f>Table242724[[#This Row],[Travel Time2]]+Table242724[[#This Row],[Travel Time]]</f>
        <v>0.16666666666666669</v>
      </c>
      <c r="V37" s="16">
        <f>HOUR(Table242724[[#This Row],[Total Travel Time]])+MINUTE(Table242724[[#This Row],[Total Travel Time]])/60</f>
        <v>4</v>
      </c>
      <c r="W37" s="17">
        <f>Table242724[[#This Row],[Total travel time in hr]]/(Table242724[[#This Row],[Total travel time in hr]]+HOUR(Table242724[[#This Row],[Total Work Hours]])+MINUTE(Table242724[[#This Row],[Total Work Hours]])/60)</f>
        <v>0.30769230769230771</v>
      </c>
      <c r="X37" s="18">
        <f>Table242724[[#This Row],[Total travel time in hr]]/24</f>
        <v>0.16666666666666666</v>
      </c>
      <c r="Y37" s="19">
        <f>Table242724[[#This Row],[Total travel time in hr]]*261</f>
        <v>1044</v>
      </c>
      <c r="Z37" s="19">
        <f>Table242724[[#This Row],[Total travel time (hr) in a year (261 days)]]/24</f>
        <v>43.5</v>
      </c>
      <c r="AA37" s="47">
        <f>Table242724[[#This Row],[Travel cost]]+Table242724[[#This Row],[Travel cost ]]</f>
        <v>125</v>
      </c>
      <c r="AB37" s="47">
        <f>Table242724[[#This Row],[Total Cost]]*261</f>
        <v>32625</v>
      </c>
    </row>
    <row r="38" spans="1:28" x14ac:dyDescent="0.25">
      <c r="A38" t="s">
        <v>87</v>
      </c>
      <c r="B38" t="s">
        <v>49</v>
      </c>
      <c r="C38" t="s">
        <v>50</v>
      </c>
      <c r="D38" t="s">
        <v>25</v>
      </c>
      <c r="E38" t="s">
        <v>29</v>
      </c>
      <c r="F38" t="s">
        <v>51</v>
      </c>
      <c r="G38"/>
      <c r="H38" t="s">
        <v>54</v>
      </c>
      <c r="I38"/>
      <c r="J38" s="21">
        <v>0.33333333333333331</v>
      </c>
      <c r="K38" s="14">
        <v>0.25</v>
      </c>
      <c r="L38" s="14">
        <v>0.33333333333333331</v>
      </c>
      <c r="M38"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8.3333333333333315E-2</v>
      </c>
      <c r="N38">
        <v>0</v>
      </c>
      <c r="O38" s="21">
        <v>0.75</v>
      </c>
      <c r="P38" s="44">
        <v>0.75</v>
      </c>
      <c r="Q38" s="44">
        <v>0.875</v>
      </c>
      <c r="R38" s="41">
        <f>IF(Table242724[[#This Row],[End of Work (time)]]&lt;Table242724[[#This Row],[Start of Work (time)]],Table242724[[#This Row],[End of Work (time)]]+24-Table242724[[#This Row],[Start of Work (time)]],Table242724[[#This Row],[End of Work (time)]]-Table242724[[#This Row],[Start of Work (time)]])</f>
        <v>0.41666666666666669</v>
      </c>
      <c r="S38" s="28">
        <f>(IF(Table242724[[#This Row],[Time of Arrival (at Home)]]&lt;Table242724[[#This Row],[Time of Departure (from Work)]],Table242724[[#This Row],[Time of Arrival (at Home)]]+24-Table242724[[#This Row],[Time of Departure (from Work)]],Table242724[[#This Row],[Time of Arrival (at Home)]]-Table242724[[#This Row],[Time of Departure (from Work)]]))</f>
        <v>0.125</v>
      </c>
      <c r="T38">
        <v>0</v>
      </c>
      <c r="U38" s="15">
        <f>Table242724[[#This Row],[Travel Time2]]+Table242724[[#This Row],[Travel Time]]</f>
        <v>0.20833333333333331</v>
      </c>
      <c r="V38" s="16">
        <f>HOUR(Table242724[[#This Row],[Total Travel Time]])+MINUTE(Table242724[[#This Row],[Total Travel Time]])/60</f>
        <v>5</v>
      </c>
      <c r="W38" s="17">
        <f>Table242724[[#This Row],[Total travel time in hr]]/(Table242724[[#This Row],[Total travel time in hr]]+HOUR(Table242724[[#This Row],[Total Work Hours]])+MINUTE(Table242724[[#This Row],[Total Work Hours]])/60)</f>
        <v>0.33333333333333331</v>
      </c>
      <c r="X38" s="18">
        <f>Table242724[[#This Row],[Total travel time in hr]]/24</f>
        <v>0.20833333333333334</v>
      </c>
      <c r="Y38" s="19">
        <f>Table242724[[#This Row],[Total travel time in hr]]*261</f>
        <v>1305</v>
      </c>
      <c r="Z38" s="19">
        <f>Table242724[[#This Row],[Total travel time (hr) in a year (261 days)]]/24</f>
        <v>54.375</v>
      </c>
      <c r="AA38" s="47">
        <f>Table242724[[#This Row],[Travel cost]]+Table242724[[#This Row],[Travel cost ]]</f>
        <v>0</v>
      </c>
      <c r="AB38" s="47">
        <f>Table242724[[#This Row],[Total Cost]]*261</f>
        <v>0</v>
      </c>
    </row>
    <row r="39" spans="1:28" x14ac:dyDescent="0.25">
      <c r="A39" t="s">
        <v>90</v>
      </c>
      <c r="B39" t="s">
        <v>49</v>
      </c>
      <c r="C39" t="s">
        <v>53</v>
      </c>
      <c r="D39" t="s">
        <v>25</v>
      </c>
      <c r="E39" t="s">
        <v>27</v>
      </c>
      <c r="F39" t="s">
        <v>59</v>
      </c>
      <c r="G39"/>
      <c r="H39" t="s">
        <v>61</v>
      </c>
      <c r="I39"/>
      <c r="J39" s="21">
        <v>0.27083333333333331</v>
      </c>
      <c r="K39" s="14">
        <v>0.20833333333333334</v>
      </c>
      <c r="L39" s="14">
        <v>0.27083333333333331</v>
      </c>
      <c r="M39"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6.2499999999999972E-2</v>
      </c>
      <c r="N39">
        <v>80</v>
      </c>
      <c r="O39" s="21">
        <v>0.60416666666666663</v>
      </c>
      <c r="P39" s="44">
        <v>0.60416666666666663</v>
      </c>
      <c r="Q39" s="44">
        <v>0.75</v>
      </c>
      <c r="R39" s="41">
        <f>IF(Table242724[[#This Row],[End of Work (time)]]&lt;Table242724[[#This Row],[Start of Work (time)]],Table242724[[#This Row],[End of Work (time)]]+24-Table242724[[#This Row],[Start of Work (time)]],Table242724[[#This Row],[End of Work (time)]]-Table242724[[#This Row],[Start of Work (time)]])</f>
        <v>0.33333333333333331</v>
      </c>
      <c r="S39" s="28">
        <f>(IF(Table242724[[#This Row],[Time of Arrival (at Home)]]&lt;Table242724[[#This Row],[Time of Departure (from Work)]],Table242724[[#This Row],[Time of Arrival (at Home)]]+24-Table242724[[#This Row],[Time of Departure (from Work)]],Table242724[[#This Row],[Time of Arrival (at Home)]]-Table242724[[#This Row],[Time of Departure (from Work)]]))</f>
        <v>0.14583333333333337</v>
      </c>
      <c r="T39">
        <v>80</v>
      </c>
      <c r="U39" s="15">
        <f>Table242724[[#This Row],[Travel Time2]]+Table242724[[#This Row],[Travel Time]]</f>
        <v>0.20833333333333334</v>
      </c>
      <c r="V39" s="16">
        <f>HOUR(Table242724[[#This Row],[Total Travel Time]])+MINUTE(Table242724[[#This Row],[Total Travel Time]])/60</f>
        <v>5</v>
      </c>
      <c r="W39" s="17">
        <f>Table242724[[#This Row],[Total travel time in hr]]/(Table242724[[#This Row],[Total travel time in hr]]+HOUR(Table242724[[#This Row],[Total Work Hours]])+MINUTE(Table242724[[#This Row],[Total Work Hours]])/60)</f>
        <v>0.38461538461538464</v>
      </c>
      <c r="X39" s="18">
        <f>Table242724[[#This Row],[Total travel time in hr]]/24</f>
        <v>0.20833333333333334</v>
      </c>
      <c r="Y39" s="19">
        <f>Table242724[[#This Row],[Total travel time in hr]]*261</f>
        <v>1305</v>
      </c>
      <c r="Z39" s="19">
        <f>Table242724[[#This Row],[Total travel time (hr) in a year (261 days)]]/24</f>
        <v>54.375</v>
      </c>
      <c r="AA39" s="47">
        <f>Table242724[[#This Row],[Travel cost]]+Table242724[[#This Row],[Travel cost ]]</f>
        <v>160</v>
      </c>
      <c r="AB39" s="47">
        <f>Table242724[[#This Row],[Total Cost]]*261</f>
        <v>41760</v>
      </c>
    </row>
    <row r="40" spans="1:28" x14ac:dyDescent="0.25">
      <c r="A40" t="s">
        <v>103</v>
      </c>
      <c r="B40" t="s">
        <v>49</v>
      </c>
      <c r="C40" t="s">
        <v>50</v>
      </c>
      <c r="D40" t="s">
        <v>25</v>
      </c>
      <c r="E40" t="s">
        <v>29</v>
      </c>
      <c r="F40" t="s">
        <v>62</v>
      </c>
      <c r="G40"/>
      <c r="H40" t="s">
        <v>54</v>
      </c>
      <c r="I40"/>
      <c r="J40" s="21">
        <v>0.375</v>
      </c>
      <c r="K40" s="14">
        <v>0.20833333333333334</v>
      </c>
      <c r="L40" s="14">
        <v>0.3125</v>
      </c>
      <c r="M40"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0.10416666666666666</v>
      </c>
      <c r="N40">
        <v>100</v>
      </c>
      <c r="O40" s="21">
        <v>0.83333333333333337</v>
      </c>
      <c r="P40" s="44">
        <v>0.83333333333333337</v>
      </c>
      <c r="Q40" s="44">
        <v>0.95833333333333337</v>
      </c>
      <c r="R40" s="41">
        <f>IF(Table242724[[#This Row],[End of Work (time)]]&lt;Table242724[[#This Row],[Start of Work (time)]],Table242724[[#This Row],[End of Work (time)]]+24-Table242724[[#This Row],[Start of Work (time)]],Table242724[[#This Row],[End of Work (time)]]-Table242724[[#This Row],[Start of Work (time)]])</f>
        <v>0.45833333333333337</v>
      </c>
      <c r="S40" s="28">
        <f>(IF(Table242724[[#This Row],[Time of Arrival (at Home)]]&lt;Table242724[[#This Row],[Time of Departure (from Work)]],Table242724[[#This Row],[Time of Arrival (at Home)]]+24-Table242724[[#This Row],[Time of Departure (from Work)]],Table242724[[#This Row],[Time of Arrival (at Home)]]-Table242724[[#This Row],[Time of Departure (from Work)]]))</f>
        <v>0.125</v>
      </c>
      <c r="T40">
        <v>100</v>
      </c>
      <c r="U40" s="15">
        <f>Table242724[[#This Row],[Travel Time2]]+Table242724[[#This Row],[Travel Time]]</f>
        <v>0.22916666666666666</v>
      </c>
      <c r="V40" s="16">
        <f>HOUR(Table242724[[#This Row],[Total Travel Time]])+MINUTE(Table242724[[#This Row],[Total Travel Time]])/60</f>
        <v>5.5</v>
      </c>
      <c r="W40" s="17">
        <f>Table242724[[#This Row],[Total travel time in hr]]/(Table242724[[#This Row],[Total travel time in hr]]+HOUR(Table242724[[#This Row],[Total Work Hours]])+MINUTE(Table242724[[#This Row],[Total Work Hours]])/60)</f>
        <v>0.33333333333333331</v>
      </c>
      <c r="X40" s="18">
        <f>Table242724[[#This Row],[Total travel time in hr]]/24</f>
        <v>0.22916666666666666</v>
      </c>
      <c r="Y40" s="19">
        <f>Table242724[[#This Row],[Total travel time in hr]]*261</f>
        <v>1435.5</v>
      </c>
      <c r="Z40" s="19">
        <f>Table242724[[#This Row],[Total travel time (hr) in a year (261 days)]]/24</f>
        <v>59.8125</v>
      </c>
      <c r="AA40" s="47">
        <f>Table242724[[#This Row],[Travel cost]]+Table242724[[#This Row],[Travel cost ]]</f>
        <v>200</v>
      </c>
      <c r="AB40" s="47">
        <f>Table242724[[#This Row],[Total Cost]]*261</f>
        <v>52200</v>
      </c>
    </row>
    <row r="41" spans="1:28" x14ac:dyDescent="0.25">
      <c r="A41" t="s">
        <v>110</v>
      </c>
      <c r="B41" t="s">
        <v>49</v>
      </c>
      <c r="C41" t="s">
        <v>50</v>
      </c>
      <c r="D41" t="s">
        <v>25</v>
      </c>
      <c r="E41" t="s">
        <v>29</v>
      </c>
      <c r="F41" t="s">
        <v>55</v>
      </c>
      <c r="G41" t="s">
        <v>56</v>
      </c>
      <c r="H41" t="s">
        <v>55</v>
      </c>
      <c r="I41" t="s">
        <v>68</v>
      </c>
      <c r="J41" s="21">
        <v>0.33333333333333331</v>
      </c>
      <c r="K41" s="14">
        <v>0.19791666666666666</v>
      </c>
      <c r="L41" s="14">
        <v>0.3125</v>
      </c>
      <c r="M41"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0.11458333333333334</v>
      </c>
      <c r="N41">
        <v>140</v>
      </c>
      <c r="O41" s="21">
        <v>0.75</v>
      </c>
      <c r="P41" s="44">
        <v>0.75</v>
      </c>
      <c r="Q41" s="44">
        <v>0.875</v>
      </c>
      <c r="R41" s="41">
        <f>IF(Table242724[[#This Row],[End of Work (time)]]&lt;Table242724[[#This Row],[Start of Work (time)]],Table242724[[#This Row],[End of Work (time)]]+24-Table242724[[#This Row],[Start of Work (time)]],Table242724[[#This Row],[End of Work (time)]]-Table242724[[#This Row],[Start of Work (time)]])</f>
        <v>0.41666666666666669</v>
      </c>
      <c r="S41" s="28">
        <f>(IF(Table242724[[#This Row],[Time of Arrival (at Home)]]&lt;Table242724[[#This Row],[Time of Departure (from Work)]],Table242724[[#This Row],[Time of Arrival (at Home)]]+24-Table242724[[#This Row],[Time of Departure (from Work)]],Table242724[[#This Row],[Time of Arrival (at Home)]]-Table242724[[#This Row],[Time of Departure (from Work)]]))</f>
        <v>0.125</v>
      </c>
      <c r="T41">
        <v>150</v>
      </c>
      <c r="U41" s="15">
        <f>Table242724[[#This Row],[Travel Time2]]+Table242724[[#This Row],[Travel Time]]</f>
        <v>0.23958333333333334</v>
      </c>
      <c r="V41" s="16">
        <f>HOUR(Table242724[[#This Row],[Total Travel Time]])+MINUTE(Table242724[[#This Row],[Total Travel Time]])/60</f>
        <v>5.75</v>
      </c>
      <c r="W41" s="17">
        <f>Table242724[[#This Row],[Total travel time in hr]]/(Table242724[[#This Row],[Total travel time in hr]]+HOUR(Table242724[[#This Row],[Total Work Hours]])+MINUTE(Table242724[[#This Row],[Total Work Hours]])/60)</f>
        <v>0.36507936507936506</v>
      </c>
      <c r="X41" s="18">
        <f>Table242724[[#This Row],[Total travel time in hr]]/24</f>
        <v>0.23958333333333334</v>
      </c>
      <c r="Y41" s="19">
        <f>Table242724[[#This Row],[Total travel time in hr]]*261</f>
        <v>1500.75</v>
      </c>
      <c r="Z41" s="19">
        <f>Table242724[[#This Row],[Total travel time (hr) in a year (261 days)]]/24</f>
        <v>62.53125</v>
      </c>
      <c r="AA41" s="47">
        <f>Table242724[[#This Row],[Travel cost]]+Table242724[[#This Row],[Travel cost ]]</f>
        <v>290</v>
      </c>
      <c r="AB41" s="47">
        <f>Table242724[[#This Row],[Total Cost]]*261</f>
        <v>75690</v>
      </c>
    </row>
    <row r="42" spans="1:28" x14ac:dyDescent="0.25">
      <c r="A42" t="s">
        <v>86</v>
      </c>
      <c r="B42" t="s">
        <v>49</v>
      </c>
      <c r="C42" t="s">
        <v>53</v>
      </c>
      <c r="D42" t="s">
        <v>25</v>
      </c>
      <c r="E42" t="s">
        <v>29</v>
      </c>
      <c r="F42" t="s">
        <v>61</v>
      </c>
      <c r="G42"/>
      <c r="H42" t="s">
        <v>62</v>
      </c>
      <c r="I42"/>
      <c r="J42" s="21">
        <v>0.33333333333333331</v>
      </c>
      <c r="K42" s="14">
        <v>0.16666666666666666</v>
      </c>
      <c r="L42" s="14">
        <v>0.27083333333333331</v>
      </c>
      <c r="M42" s="29">
        <f>ABS(IF(Table242724[[#This Row],[Time of Arrival (at Work)]]&lt;Table242724[[#This Row],[Time of Departure (from Home)]],Table242724[[#This Row],[Time of Arrival (at Work)]]+24-Table242724[[#This Row],[Time of Departure (from Home)]],Table242724[[#This Row],[Time of Arrival (at Work)]]-Table242724[[#This Row],[Time of Departure (from Home)]]))</f>
        <v>0.10416666666666666</v>
      </c>
      <c r="N42">
        <v>100</v>
      </c>
      <c r="O42" s="21">
        <v>0.70833333333333337</v>
      </c>
      <c r="P42" s="44">
        <v>0.70833333333333337</v>
      </c>
      <c r="Q42" s="44">
        <v>0.875</v>
      </c>
      <c r="R42" s="41">
        <f>IF(Table242724[[#This Row],[End of Work (time)]]&lt;Table242724[[#This Row],[Start of Work (time)]],Table242724[[#This Row],[End of Work (time)]]+24-Table242724[[#This Row],[Start of Work (time)]],Table242724[[#This Row],[End of Work (time)]]-Table242724[[#This Row],[Start of Work (time)]])</f>
        <v>0.37500000000000006</v>
      </c>
      <c r="S42" s="28">
        <f>(IF(Table242724[[#This Row],[Time of Arrival (at Home)]]&lt;Table242724[[#This Row],[Time of Departure (from Work)]],Table242724[[#This Row],[Time of Arrival (at Home)]]+24-Table242724[[#This Row],[Time of Departure (from Work)]],Table242724[[#This Row],[Time of Arrival (at Home)]]-Table242724[[#This Row],[Time of Departure (from Work)]]))</f>
        <v>0.16666666666666663</v>
      </c>
      <c r="T42">
        <v>100</v>
      </c>
      <c r="U42" s="15">
        <f>Table242724[[#This Row],[Travel Time2]]+Table242724[[#This Row],[Travel Time]]</f>
        <v>0.27083333333333326</v>
      </c>
      <c r="V42" s="16">
        <f>HOUR(Table242724[[#This Row],[Total Travel Time]])+MINUTE(Table242724[[#This Row],[Total Travel Time]])/60</f>
        <v>6.5</v>
      </c>
      <c r="W42" s="17">
        <f>Table242724[[#This Row],[Total travel time in hr]]/(Table242724[[#This Row],[Total travel time in hr]]+HOUR(Table242724[[#This Row],[Total Work Hours]])+MINUTE(Table242724[[#This Row],[Total Work Hours]])/60)</f>
        <v>0.41935483870967744</v>
      </c>
      <c r="X42" s="18">
        <f>Table242724[[#This Row],[Total travel time in hr]]/24</f>
        <v>0.27083333333333331</v>
      </c>
      <c r="Y42" s="19">
        <f>Table242724[[#This Row],[Total travel time in hr]]*261</f>
        <v>1696.5</v>
      </c>
      <c r="Z42" s="19">
        <f>Table242724[[#This Row],[Total travel time (hr) in a year (261 days)]]/24</f>
        <v>70.6875</v>
      </c>
      <c r="AA42" s="47">
        <f>Table242724[[#This Row],[Travel cost]]+Table242724[[#This Row],[Travel cost ]]</f>
        <v>200</v>
      </c>
      <c r="AB42" s="47">
        <f>Table242724[[#This Row],[Total Cost]]*261</f>
        <v>52200</v>
      </c>
    </row>
    <row r="43" spans="1:28" x14ac:dyDescent="0.25">
      <c r="A43" s="31"/>
      <c r="B43" s="31"/>
      <c r="C43" s="31"/>
      <c r="D43" s="31"/>
      <c r="E43" s="31"/>
      <c r="F43" s="31"/>
      <c r="G43" s="31"/>
      <c r="H43" s="31"/>
      <c r="I43" s="31"/>
      <c r="J43" s="32"/>
      <c r="K43" s="33"/>
      <c r="L43" s="33"/>
      <c r="M43" s="29"/>
      <c r="N43" s="31"/>
      <c r="O43" s="32"/>
      <c r="P43" s="46"/>
      <c r="Q43" s="46"/>
      <c r="R43" s="42"/>
      <c r="S43" s="30"/>
      <c r="T43" s="31"/>
      <c r="U43" s="29"/>
      <c r="V43" s="34"/>
      <c r="W43" s="35"/>
      <c r="X43" s="36"/>
      <c r="Y43" s="36"/>
      <c r="Z43" s="36"/>
      <c r="AA43" s="48"/>
      <c r="AB43" s="48"/>
    </row>
    <row r="44" spans="1:28" s="39" customFormat="1" x14ac:dyDescent="0.25">
      <c r="A44" s="13" t="s">
        <v>135</v>
      </c>
      <c r="B44" s="13"/>
      <c r="C44" s="13"/>
      <c r="D44" s="13"/>
      <c r="E44" s="13"/>
      <c r="F44" s="13"/>
      <c r="G44" s="13"/>
      <c r="H44" s="13"/>
      <c r="I44" s="13"/>
      <c r="J44" s="13"/>
      <c r="K44" s="13"/>
      <c r="L44" s="13"/>
      <c r="M44" s="13"/>
      <c r="N44" s="13"/>
      <c r="O44" s="13"/>
      <c r="P44" s="43"/>
      <c r="Q44" s="43"/>
      <c r="R44" s="43"/>
      <c r="S44" s="13"/>
      <c r="T44" s="13"/>
      <c r="U44" s="23">
        <f>AVERAGE(Table242724[Total Travel Time])</f>
        <v>0.1089092140921409</v>
      </c>
      <c r="V44" s="24">
        <f>AVERAGE(Table242724[Total travel time in hr])</f>
        <v>2.6138211382113821</v>
      </c>
      <c r="W44" s="25">
        <f>AVERAGE(Table242724[% of commute / work + commute])</f>
        <v>0.20650857650240587</v>
      </c>
      <c r="X44" s="25">
        <f>AVERAGE(Table242724[% of commute / day])</f>
        <v>0.1089092140921409</v>
      </c>
      <c r="Y44" s="24">
        <f>AVERAGE(Table242724[Total travel time (hr) in a year (261 days)])</f>
        <v>682.20731707317077</v>
      </c>
      <c r="Z44" s="24">
        <f>AVERAGE(Table242724[In days])</f>
        <v>28.425304878048781</v>
      </c>
      <c r="AA44" s="49">
        <f>AVERAGE(Table242724[Total Cost])</f>
        <v>89.609756097560975</v>
      </c>
      <c r="AB44" s="49">
        <f>AVERAGE(Table242724[Total Cost in a year (261 days)])</f>
        <v>23388.146341463416</v>
      </c>
    </row>
    <row r="45" spans="1:28" s="39" customFormat="1" x14ac:dyDescent="0.25">
      <c r="A45" s="13"/>
      <c r="B45" s="13"/>
      <c r="C45" s="13"/>
      <c r="D45" s="13"/>
      <c r="E45" s="13"/>
      <c r="F45" s="13"/>
      <c r="G45" s="13"/>
      <c r="H45" s="13"/>
      <c r="I45" s="13"/>
      <c r="J45" s="13"/>
      <c r="K45" s="13"/>
      <c r="L45" s="13"/>
      <c r="M45" s="13"/>
      <c r="N45" s="13"/>
      <c r="O45" s="13"/>
      <c r="P45" s="43"/>
      <c r="Q45" s="43"/>
      <c r="R45" s="43"/>
      <c r="S45" s="13"/>
      <c r="T45" s="13"/>
      <c r="U45" s="13"/>
      <c r="V45" s="13"/>
      <c r="W45" s="13"/>
      <c r="X45" s="17"/>
      <c r="Y45" s="16"/>
      <c r="Z45" s="16"/>
      <c r="AA45" s="13"/>
      <c r="AB45" s="13"/>
    </row>
  </sheetData>
  <conditionalFormatting sqref="N2:N42 T2:T42">
    <cfRule type="cellIs" dxfId="104" priority="10" operator="lessThanOrEqual">
      <formula>50</formula>
    </cfRule>
    <cfRule type="cellIs" dxfId="103" priority="11" operator="greaterThanOrEqual">
      <formula>100</formula>
    </cfRule>
  </conditionalFormatting>
  <conditionalFormatting sqref="O2:P42">
    <cfRule type="cellIs" dxfId="102" priority="1" operator="lessThanOrEqual">
      <formula>0.25</formula>
    </cfRule>
    <cfRule type="cellIs" dxfId="101" priority="2" operator="greaterThanOrEqual">
      <formula>0.91666666667</formula>
    </cfRule>
  </conditionalFormatting>
  <conditionalFormatting sqref="Y2:Y42">
    <cfRule type="top10" dxfId="100" priority="641" rank="10"/>
  </conditionalFormatting>
  <conditionalFormatting sqref="Z2:Z42">
    <cfRule type="top10" dxfId="99" priority="643" rank="10"/>
  </conditionalFormatting>
  <conditionalFormatting sqref="AA2:AA42">
    <cfRule type="top10" dxfId="98" priority="645" percent="1" rank="10"/>
  </conditionalFormatting>
  <conditionalFormatting sqref="AB2:AB42">
    <cfRule type="top10" dxfId="97" priority="647" percent="1" rank="10"/>
  </conditionalFormatting>
  <conditionalFormatting sqref="S2:S42">
    <cfRule type="top10" dxfId="96" priority="649" bottom="1" rank="5"/>
    <cfRule type="top10" dxfId="95" priority="650" rank="5"/>
    <cfRule type="iconSet" priority="651">
      <iconSet iconSet="3Symbols2" reverse="1">
        <cfvo type="percent" val="0"/>
        <cfvo type="percent" val="33"/>
        <cfvo type="percent" val="67"/>
      </iconSet>
    </cfRule>
  </conditionalFormatting>
  <conditionalFormatting sqref="M2:M42">
    <cfRule type="top10" dxfId="94" priority="655" rank="10"/>
    <cfRule type="iconSet" priority="656">
      <iconSet iconSet="3Symbols2" reverse="1">
        <cfvo type="percent" val="0"/>
        <cfvo type="percent" val="33"/>
        <cfvo type="percent" val="67"/>
      </iconSet>
    </cfRule>
    <cfRule type="top10" dxfId="93" priority="657" bottom="1" rank="5"/>
  </conditionalFormatting>
  <conditionalFormatting sqref="U2:U42">
    <cfRule type="aboveAverage" dxfId="92" priority="669" aboveAverage="0"/>
    <cfRule type="aboveAverage" dxfId="91" priority="670"/>
  </conditionalFormatting>
  <dataValidations count="8">
    <dataValidation showInputMessage="1" showErrorMessage="1" sqref="C1 I1:I43 G1:G43" xr:uid="{1DE2568C-2340-43BF-8C58-3F88214818EB}"/>
    <dataValidation showErrorMessage="1" promptTitle="Travel Cost" prompt="Enter the cost only" sqref="P13:Q13 O1 U2:W43 O3:O4 O6:O43" xr:uid="{A65FEC5A-BFEC-43BC-B65D-93D54B96D945}"/>
    <dataValidation type="list" showInputMessage="1" showErrorMessage="1" sqref="C2:C43" xr:uid="{A94643A7-E18A-4271-A294-B860DEFE47A0}">
      <formula1>"Male, Female, Prefer Not to Say"</formula1>
    </dataValidation>
    <dataValidation type="list" showInputMessage="1" showErrorMessage="1" sqref="D2:D43" xr:uid="{FE4353C3-0939-4B37-AA0B-623B85D553C4}">
      <formula1>"Single, Married, Widowed, Separated, Divorced"</formula1>
    </dataValidation>
    <dataValidation type="decimal" showInputMessage="1" showErrorMessage="1" promptTitle="Travel Cost" prompt="Enter the cost only" sqref="T2:T43 N2:N43" xr:uid="{348DD0DD-07A3-4062-A3FC-D04C084BF4BC}">
      <formula1>0</formula1>
      <formula2>9999</formula2>
    </dataValidation>
    <dataValidation type="list" showInputMessage="1" showErrorMessage="1" sqref="E2:E43" xr:uid="{4430C578-5292-4D92-83B1-AC03FA1AF82B}">
      <formula1>"Unemployed, Probationary, Regular Employee, Fixed Term/Contractual"</formula1>
    </dataValidation>
    <dataValidation type="list" showInputMessage="1" showErrorMessage="1" sqref="F2:F43 H2:H43" xr:uid="{826EF491-A32B-44B8-883F-5D410C735D36}">
      <formula1>"Caloocan,  Las Piñas,  Makati,  Malabon,  Mandaluyong,  Manila,  Marikina,  Muntinlupa,  Navotas,  Parañaque,  Pasay,  Pasig,  Pateros,  Quezon City,  San Juan,  Taguig,  Valenzuela, Others"</formula1>
    </dataValidation>
    <dataValidation type="list" showInputMessage="1" showErrorMessage="1" sqref="B2:B43" xr:uid="{5CA8E32B-DFD4-4755-BBDA-976FA3C13C1C}">
      <formula1>"15-20, 21-25, 26-30, 31-35, 36-40, 41-50, 51-60, 61-65"</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7B714-3A3D-40B6-A641-B5203AFD2A65}">
  <sheetPr>
    <tabColor theme="8" tint="-0.249977111117893"/>
  </sheetPr>
  <dimension ref="A1:AH44"/>
  <sheetViews>
    <sheetView workbookViewId="0">
      <pane xSplit="1" ySplit="1" topLeftCell="E2" activePane="bottomRight" state="frozen"/>
      <selection pane="topRight" activeCell="B1" sqref="B1"/>
      <selection pane="bottomLeft" activeCell="A2" sqref="A2"/>
      <selection pane="bottomRight" activeCell="E41" sqref="E2:E41"/>
    </sheetView>
  </sheetViews>
  <sheetFormatPr defaultRowHeight="15" x14ac:dyDescent="0.25"/>
  <cols>
    <col min="1" max="1" width="32.5703125" style="13" hidden="1" customWidth="1"/>
    <col min="2" max="13" width="9.140625" style="13"/>
    <col min="14" max="14" width="9.140625" style="13" customWidth="1"/>
    <col min="15" max="16" width="9.140625" style="13"/>
    <col min="17" max="18" width="9.140625" style="43"/>
    <col min="19" max="19" width="0" style="43" hidden="1" customWidth="1"/>
    <col min="20" max="20" width="9.140625" style="79" customWidth="1"/>
    <col min="21" max="21" width="9.42578125" style="13" bestFit="1" customWidth="1"/>
    <col min="22" max="22" width="9.42578125" style="13" hidden="1" customWidth="1"/>
    <col min="23" max="24" width="9.140625" style="13"/>
    <col min="25" max="25" width="9.140625" style="13" customWidth="1"/>
    <col min="26" max="26" width="9.140625" style="13"/>
    <col min="27" max="27" width="11.5703125" style="17" bestFit="1" customWidth="1"/>
    <col min="28" max="28" width="11.5703125" style="17" customWidth="1"/>
    <col min="30" max="30" width="11.5703125" style="17" customWidth="1"/>
    <col min="31" max="31" width="19.85546875" style="16" bestFit="1" customWidth="1"/>
    <col min="32" max="32" width="10" style="13" customWidth="1"/>
    <col min="33" max="33" width="9.140625" style="16"/>
    <col min="34" max="34" width="13.28515625" style="13" bestFit="1" customWidth="1"/>
    <col min="35" max="16384" width="9.140625" style="13"/>
  </cols>
  <sheetData>
    <row r="1" spans="1:33" s="2" customFormat="1" ht="31.5" customHeight="1" x14ac:dyDescent="0.25">
      <c r="A1" s="2" t="s">
        <v>77</v>
      </c>
      <c r="B1" s="2" t="s">
        <v>133</v>
      </c>
      <c r="C1" s="2" t="s">
        <v>0</v>
      </c>
      <c r="D1" s="2" t="s">
        <v>17</v>
      </c>
      <c r="E1" s="2" t="s">
        <v>9</v>
      </c>
      <c r="F1" s="2" t="s">
        <v>3</v>
      </c>
      <c r="G1" s="2" t="s">
        <v>74</v>
      </c>
      <c r="H1" s="2" t="s">
        <v>47</v>
      </c>
      <c r="I1" s="2" t="s">
        <v>75</v>
      </c>
      <c r="J1" s="5" t="s">
        <v>23</v>
      </c>
      <c r="K1" s="2" t="s">
        <v>20</v>
      </c>
      <c r="L1" s="2" t="s">
        <v>48</v>
      </c>
      <c r="M1" s="8" t="s">
        <v>137</v>
      </c>
      <c r="N1" s="8" t="s">
        <v>139</v>
      </c>
      <c r="O1" s="2" t="s">
        <v>18</v>
      </c>
      <c r="P1" s="5" t="s">
        <v>24</v>
      </c>
      <c r="Q1" s="5" t="s">
        <v>21</v>
      </c>
      <c r="R1" s="5" t="s">
        <v>22</v>
      </c>
      <c r="S1" s="5" t="s">
        <v>136</v>
      </c>
      <c r="T1" s="11" t="s">
        <v>144</v>
      </c>
      <c r="U1" s="2" t="s">
        <v>138</v>
      </c>
      <c r="V1" s="2" t="s">
        <v>140</v>
      </c>
      <c r="W1" s="2" t="s">
        <v>19</v>
      </c>
      <c r="X1" s="2" t="s">
        <v>126</v>
      </c>
      <c r="Y1" s="2" t="s">
        <v>129</v>
      </c>
      <c r="Z1" s="2" t="s">
        <v>145</v>
      </c>
      <c r="AA1" s="12" t="s">
        <v>132</v>
      </c>
      <c r="AB1" s="11" t="s">
        <v>142</v>
      </c>
      <c r="AC1" s="11" t="s">
        <v>130</v>
      </c>
      <c r="AD1" s="2" t="s">
        <v>127</v>
      </c>
      <c r="AE1" s="2" t="s">
        <v>141</v>
      </c>
      <c r="AF1" s="11" t="s">
        <v>143</v>
      </c>
    </row>
    <row r="2" spans="1:33" s="20" customFormat="1" x14ac:dyDescent="0.25">
      <c r="A2" t="s">
        <v>82</v>
      </c>
      <c r="B2" t="s">
        <v>49</v>
      </c>
      <c r="C2" t="s">
        <v>50</v>
      </c>
      <c r="D2" t="s">
        <v>25</v>
      </c>
      <c r="E2" t="s">
        <v>29</v>
      </c>
      <c r="F2" t="s">
        <v>55</v>
      </c>
      <c r="G2" t="s">
        <v>58</v>
      </c>
      <c r="H2" t="s">
        <v>55</v>
      </c>
      <c r="I2" t="s">
        <v>58</v>
      </c>
      <c r="J2" s="21">
        <v>0.3125</v>
      </c>
      <c r="K2" s="14">
        <v>0.2986111111111111</v>
      </c>
      <c r="L2" s="14">
        <v>0.30902777777777779</v>
      </c>
      <c r="M2"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1.0416666666666685E-2</v>
      </c>
      <c r="N2" s="34">
        <f>Table2427245[[#This Row],[Travel Time from Home to Work]]*24</f>
        <v>0.25000000000000044</v>
      </c>
      <c r="O2">
        <v>30</v>
      </c>
      <c r="P2" s="21">
        <v>0.69791666666666663</v>
      </c>
      <c r="Q2" s="44">
        <v>0.69791666666666663</v>
      </c>
      <c r="R2" s="44">
        <v>0.70833333333333337</v>
      </c>
      <c r="S2" s="41">
        <f>IF(Table2427245[[#This Row],[End of Work (time)]]&lt;Table2427245[[#This Row],[Start of Work (time)]],Table2427245[[#This Row],[End of Work (time)]]+24-Table2427245[[#This Row],[Start of Work (time)]],Table2427245[[#This Row],[End of Work (time)]]-Table2427245[[#This Row],[Start of Work (time)]])</f>
        <v>0.38541666666666663</v>
      </c>
      <c r="T2" s="79">
        <f>HOUR(Table2427245[[#This Row],[Total Work Hours]])+MINUTE(Table2427245[[#This Row],[Total Work Hours]])/60</f>
        <v>9.25</v>
      </c>
      <c r="U2"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1.0416666666666741E-2</v>
      </c>
      <c r="V2" s="78">
        <f>Table2427245[[#This Row],[Travel Time from Work to Home]]*24</f>
        <v>0.25000000000000178</v>
      </c>
      <c r="W2">
        <v>30</v>
      </c>
      <c r="X2" s="15">
        <f>Table2427245[[#This Row],[Travel Time from Work to Home]]+Table2427245[[#This Row],[Travel Time from Home to Work]]</f>
        <v>2.0833333333333426E-2</v>
      </c>
      <c r="Y2" s="16">
        <f>HOUR(Table2427245[[#This Row],[Total Travel Time]])+MINUTE(Table2427245[[#This Row],[Total Travel Time]])/60</f>
        <v>0.5</v>
      </c>
      <c r="Z2" s="17">
        <f>Table2427245[[#This Row],[Total travel time in hr]]/(Table2427245[[#This Row],[Total travel time in hr]]+HOUR(Table2427245[[#This Row],[Total Work Hours]])+MINUTE(Table2427245[[#This Row],[Total Work Hours]])/60)</f>
        <v>5.128205128205128E-2</v>
      </c>
      <c r="AA2" s="18">
        <f>Table2427245[[#This Row],[Total travel time in hr]]/24</f>
        <v>2.0833333333333332E-2</v>
      </c>
      <c r="AB2" s="19">
        <f>Table2427245[[#This Row],[Total travel time in hr]]*22</f>
        <v>11</v>
      </c>
      <c r="AC2" s="19">
        <f>Table2427245[[#This Row],[Total travel time (hr) in a month (22 days)]]/24</f>
        <v>0.45833333333333331</v>
      </c>
      <c r="AD2" s="47">
        <f>Table2427245[[#This Row],[Travel cost]]+Table2427245[[#This Row],[Travel cost ]]</f>
        <v>60</v>
      </c>
      <c r="AE2" s="47">
        <f>Table2427245[[#This Row],[Total Cost]]*22</f>
        <v>1320</v>
      </c>
      <c r="AF2" s="19">
        <f>24-Table2427245[[#This Row],[Total Work Hours in Decimals]]-Table2427245[[#This Row],[Total travel time (hr) in a month (22 days)]]/22</f>
        <v>14.25</v>
      </c>
    </row>
    <row r="3" spans="1:33" x14ac:dyDescent="0.25">
      <c r="A3" t="s">
        <v>97</v>
      </c>
      <c r="B3" t="s">
        <v>49</v>
      </c>
      <c r="C3" t="s">
        <v>50</v>
      </c>
      <c r="D3" t="s">
        <v>25</v>
      </c>
      <c r="E3" t="s">
        <v>28</v>
      </c>
      <c r="F3" t="s">
        <v>52</v>
      </c>
      <c r="G3"/>
      <c r="H3" t="s">
        <v>52</v>
      </c>
      <c r="I3"/>
      <c r="J3" s="21">
        <v>0.38541666666666669</v>
      </c>
      <c r="K3" s="14">
        <v>0.36458333333333331</v>
      </c>
      <c r="L3" s="14">
        <v>0.375</v>
      </c>
      <c r="M3"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1.0416666666666685E-2</v>
      </c>
      <c r="N3" s="34">
        <f>Table2427245[[#This Row],[Travel Time from Home to Work]]*24</f>
        <v>0.25000000000000044</v>
      </c>
      <c r="O3">
        <v>13</v>
      </c>
      <c r="P3" s="21">
        <v>0.83333333333333337</v>
      </c>
      <c r="Q3" s="44">
        <v>0.83333333333333337</v>
      </c>
      <c r="R3" s="44">
        <v>0.85416666666666663</v>
      </c>
      <c r="S3" s="41">
        <f>IF(Table2427245[[#This Row],[End of Work (time)]]&lt;Table2427245[[#This Row],[Start of Work (time)]],Table2427245[[#This Row],[End of Work (time)]]+24-Table2427245[[#This Row],[Start of Work (time)]],Table2427245[[#This Row],[End of Work (time)]]-Table2427245[[#This Row],[Start of Work (time)]])</f>
        <v>0.44791666666666669</v>
      </c>
      <c r="T3" s="79">
        <f>HOUR(Table2427245[[#This Row],[Total Work Hours]])+MINUTE(Table2427245[[#This Row],[Total Work Hours]])/60</f>
        <v>10.75</v>
      </c>
      <c r="U3"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2.0833333333333259E-2</v>
      </c>
      <c r="V3" s="78">
        <f>Table2427245[[#This Row],[Travel Time from Work to Home]]*24</f>
        <v>0.49999999999999822</v>
      </c>
      <c r="W3">
        <v>13</v>
      </c>
      <c r="X3" s="15">
        <f>Table2427245[[#This Row],[Travel Time from Work to Home]]+Table2427245[[#This Row],[Travel Time from Home to Work]]</f>
        <v>3.1249999999999944E-2</v>
      </c>
      <c r="Y3" s="16">
        <f>HOUR(Table2427245[[#This Row],[Total Travel Time]])+MINUTE(Table2427245[[#This Row],[Total Travel Time]])/60</f>
        <v>0.75</v>
      </c>
      <c r="Z3" s="17">
        <f>Table2427245[[#This Row],[Total travel time in hr]]/(Table2427245[[#This Row],[Total travel time in hr]]+HOUR(Table2427245[[#This Row],[Total Work Hours]])+MINUTE(Table2427245[[#This Row],[Total Work Hours]])/60)</f>
        <v>6.5217391304347824E-2</v>
      </c>
      <c r="AA3" s="18">
        <f>Table2427245[[#This Row],[Total travel time in hr]]/24</f>
        <v>3.125E-2</v>
      </c>
      <c r="AB3" s="19">
        <f>Table2427245[[#This Row],[Total travel time in hr]]*22</f>
        <v>16.5</v>
      </c>
      <c r="AC3" s="19">
        <f>Table2427245[[#This Row],[Total travel time (hr) in a month (22 days)]]/24</f>
        <v>0.6875</v>
      </c>
      <c r="AD3" s="47">
        <f>Table2427245[[#This Row],[Travel cost]]+Table2427245[[#This Row],[Travel cost ]]</f>
        <v>26</v>
      </c>
      <c r="AE3" s="47">
        <f>Table2427245[[#This Row],[Total Cost]]*22</f>
        <v>572</v>
      </c>
      <c r="AF3" s="19">
        <f>24-Table2427245[[#This Row],[Total Work Hours in Decimals]]-Table2427245[[#This Row],[Total travel time (hr) in a month (22 days)]]/22</f>
        <v>12.5</v>
      </c>
      <c r="AG3" s="13"/>
    </row>
    <row r="4" spans="1:33" x14ac:dyDescent="0.25">
      <c r="A4" t="s">
        <v>116</v>
      </c>
      <c r="B4" t="s">
        <v>64</v>
      </c>
      <c r="C4" t="s">
        <v>50</v>
      </c>
      <c r="D4" t="s">
        <v>25</v>
      </c>
      <c r="E4" t="s">
        <v>27</v>
      </c>
      <c r="F4" t="s">
        <v>55</v>
      </c>
      <c r="G4" t="s">
        <v>58</v>
      </c>
      <c r="H4" t="s">
        <v>55</v>
      </c>
      <c r="I4" t="s">
        <v>58</v>
      </c>
      <c r="J4" s="21">
        <v>0.33333333333333331</v>
      </c>
      <c r="K4" s="14">
        <v>0.27083333333333331</v>
      </c>
      <c r="L4" s="14">
        <v>0.29166666666666669</v>
      </c>
      <c r="M4"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2.083333333333337E-2</v>
      </c>
      <c r="N4" s="34">
        <f>Table2427245[[#This Row],[Travel Time from Home to Work]]*24</f>
        <v>0.50000000000000089</v>
      </c>
      <c r="O4">
        <v>35</v>
      </c>
      <c r="P4" s="21">
        <v>0.72916666666666663</v>
      </c>
      <c r="Q4" s="44">
        <v>0.70833333333333337</v>
      </c>
      <c r="R4" s="44">
        <v>0.72916666666666663</v>
      </c>
      <c r="S4" s="41">
        <f>IF(Table2427245[[#This Row],[End of Work (time)]]&lt;Table2427245[[#This Row],[Start of Work (time)]],Table2427245[[#This Row],[End of Work (time)]]+24-Table2427245[[#This Row],[Start of Work (time)]],Table2427245[[#This Row],[End of Work (time)]]-Table2427245[[#This Row],[Start of Work (time)]])</f>
        <v>0.39583333333333331</v>
      </c>
      <c r="T4" s="79">
        <f>HOUR(Table2427245[[#This Row],[Total Work Hours]])+MINUTE(Table2427245[[#This Row],[Total Work Hours]])/60</f>
        <v>9.5</v>
      </c>
      <c r="U4"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2.0833333333333259E-2</v>
      </c>
      <c r="V4" s="78">
        <f>Table2427245[[#This Row],[Travel Time from Work to Home]]*24</f>
        <v>0.49999999999999822</v>
      </c>
      <c r="W4">
        <v>35</v>
      </c>
      <c r="X4" s="15">
        <f>Table2427245[[#This Row],[Travel Time from Work to Home]]+Table2427245[[#This Row],[Travel Time from Home to Work]]</f>
        <v>4.166666666666663E-2</v>
      </c>
      <c r="Y4" s="16">
        <f>HOUR(Table2427245[[#This Row],[Total Travel Time]])+MINUTE(Table2427245[[#This Row],[Total Travel Time]])/60</f>
        <v>1</v>
      </c>
      <c r="Z4" s="17">
        <f>Table2427245[[#This Row],[Total travel time in hr]]/(Table2427245[[#This Row],[Total travel time in hr]]+HOUR(Table2427245[[#This Row],[Total Work Hours]])+MINUTE(Table2427245[[#This Row],[Total Work Hours]])/60)</f>
        <v>9.5238095238095233E-2</v>
      </c>
      <c r="AA4" s="18">
        <f>Table2427245[[#This Row],[Total travel time in hr]]/24</f>
        <v>4.1666666666666664E-2</v>
      </c>
      <c r="AB4" s="19">
        <f>Table2427245[[#This Row],[Total travel time in hr]]*22</f>
        <v>22</v>
      </c>
      <c r="AC4" s="19">
        <f>Table2427245[[#This Row],[Total travel time (hr) in a month (22 days)]]/24</f>
        <v>0.91666666666666663</v>
      </c>
      <c r="AD4" s="47">
        <f>Table2427245[[#This Row],[Travel cost]]+Table2427245[[#This Row],[Travel cost ]]</f>
        <v>70</v>
      </c>
      <c r="AE4" s="47">
        <f>Table2427245[[#This Row],[Total Cost]]*22</f>
        <v>1540</v>
      </c>
      <c r="AF4" s="19">
        <f>24-Table2427245[[#This Row],[Total Work Hours in Decimals]]-Table2427245[[#This Row],[Total travel time (hr) in a month (22 days)]]/22</f>
        <v>13.5</v>
      </c>
      <c r="AG4" s="13"/>
    </row>
    <row r="5" spans="1:33" x14ac:dyDescent="0.25">
      <c r="A5" t="s">
        <v>107</v>
      </c>
      <c r="B5" t="s">
        <v>49</v>
      </c>
      <c r="C5" t="s">
        <v>53</v>
      </c>
      <c r="D5" t="s">
        <v>25</v>
      </c>
      <c r="E5" t="s">
        <v>29</v>
      </c>
      <c r="F5" t="s">
        <v>52</v>
      </c>
      <c r="G5"/>
      <c r="H5" t="s">
        <v>54</v>
      </c>
      <c r="I5"/>
      <c r="J5" s="21">
        <v>0.58333333333333337</v>
      </c>
      <c r="K5" s="14">
        <v>0.5625</v>
      </c>
      <c r="L5" s="14">
        <v>0.58333333333333337</v>
      </c>
      <c r="M5"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2.083333333333337E-2</v>
      </c>
      <c r="N5" s="34">
        <f>Table2427245[[#This Row],[Travel Time from Home to Work]]*24</f>
        <v>0.50000000000000089</v>
      </c>
      <c r="O5">
        <v>0</v>
      </c>
      <c r="P5" s="21">
        <v>2.0833333333333332E-2</v>
      </c>
      <c r="Q5" s="44">
        <v>2.0833333333333332E-2</v>
      </c>
      <c r="R5" s="44">
        <v>4.1666666666666664E-2</v>
      </c>
      <c r="S5" s="41">
        <f>IF(Table2427245[[#This Row],[End of Work (time)]]&lt;Table2427245[[#This Row],[Start of Work (time)]],Table2427245[[#This Row],[End of Work (time)]]+24-Table2427245[[#This Row],[Start of Work (time)]],Table2427245[[#This Row],[End of Work (time)]]-Table2427245[[#This Row],[Start of Work (time)]])</f>
        <v>23.4375</v>
      </c>
      <c r="T5" s="79">
        <f>HOUR(Table2427245[[#This Row],[Total Work Hours]])+MINUTE(Table2427245[[#This Row],[Total Work Hours]])/60</f>
        <v>10.5</v>
      </c>
      <c r="U5"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2.0833333333333332E-2</v>
      </c>
      <c r="V5" s="78">
        <f>Table2427245[[#This Row],[Travel Time from Work to Home]]*24</f>
        <v>0.5</v>
      </c>
      <c r="W5">
        <v>0</v>
      </c>
      <c r="X5" s="15">
        <f>Table2427245[[#This Row],[Travel Time from Work to Home]]+Table2427245[[#This Row],[Travel Time from Home to Work]]</f>
        <v>4.1666666666666699E-2</v>
      </c>
      <c r="Y5" s="16">
        <f>HOUR(Table2427245[[#This Row],[Total Travel Time]])+MINUTE(Table2427245[[#This Row],[Total Travel Time]])/60</f>
        <v>1</v>
      </c>
      <c r="Z5" s="17">
        <f>Table2427245[[#This Row],[Total travel time in hr]]/(Table2427245[[#This Row],[Total travel time in hr]]+HOUR(Table2427245[[#This Row],[Total Work Hours]])+MINUTE(Table2427245[[#This Row],[Total Work Hours]])/60)</f>
        <v>8.6956521739130432E-2</v>
      </c>
      <c r="AA5" s="18">
        <f>Table2427245[[#This Row],[Total travel time in hr]]/24</f>
        <v>4.1666666666666664E-2</v>
      </c>
      <c r="AB5" s="19">
        <f>Table2427245[[#This Row],[Total travel time in hr]]*22</f>
        <v>22</v>
      </c>
      <c r="AC5" s="19">
        <f>Table2427245[[#This Row],[Total travel time (hr) in a month (22 days)]]/24</f>
        <v>0.91666666666666663</v>
      </c>
      <c r="AD5" s="47">
        <f>Table2427245[[#This Row],[Travel cost]]+Table2427245[[#This Row],[Travel cost ]]</f>
        <v>0</v>
      </c>
      <c r="AE5" s="47">
        <f>Table2427245[[#This Row],[Total Cost]]*22</f>
        <v>0</v>
      </c>
      <c r="AF5" s="19">
        <f>24-Table2427245[[#This Row],[Total Work Hours in Decimals]]-Table2427245[[#This Row],[Total travel time (hr) in a month (22 days)]]/22</f>
        <v>12.5</v>
      </c>
      <c r="AG5" s="13"/>
    </row>
    <row r="6" spans="1:33" x14ac:dyDescent="0.25">
      <c r="A6" t="s">
        <v>81</v>
      </c>
      <c r="B6" t="s">
        <v>49</v>
      </c>
      <c r="C6" t="s">
        <v>53</v>
      </c>
      <c r="D6" t="s">
        <v>25</v>
      </c>
      <c r="E6" t="s">
        <v>29</v>
      </c>
      <c r="F6" t="s">
        <v>55</v>
      </c>
      <c r="G6" t="s">
        <v>56</v>
      </c>
      <c r="H6" t="s">
        <v>55</v>
      </c>
      <c r="I6" t="s">
        <v>57</v>
      </c>
      <c r="J6" s="21">
        <v>0.3125</v>
      </c>
      <c r="K6" s="14">
        <v>0.28472222222222221</v>
      </c>
      <c r="L6" s="14">
        <v>0.30902777777777779</v>
      </c>
      <c r="M6"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2.430555555555558E-2</v>
      </c>
      <c r="N6" s="34">
        <f>Table2427245[[#This Row],[Travel Time from Home to Work]]*24</f>
        <v>0.58333333333333393</v>
      </c>
      <c r="O6">
        <v>50</v>
      </c>
      <c r="P6" s="21">
        <v>0.69791666666666663</v>
      </c>
      <c r="Q6" s="44">
        <v>0.70138888888888884</v>
      </c>
      <c r="R6" s="44">
        <v>0.72222222222222221</v>
      </c>
      <c r="S6" s="41">
        <f>IF(Table2427245[[#This Row],[End of Work (time)]]&lt;Table2427245[[#This Row],[Start of Work (time)]],Table2427245[[#This Row],[End of Work (time)]]+24-Table2427245[[#This Row],[Start of Work (time)]],Table2427245[[#This Row],[End of Work (time)]]-Table2427245[[#This Row],[Start of Work (time)]])</f>
        <v>0.38541666666666663</v>
      </c>
      <c r="T6" s="79">
        <f>HOUR(Table2427245[[#This Row],[Total Work Hours]])+MINUTE(Table2427245[[#This Row],[Total Work Hours]])/60</f>
        <v>9.25</v>
      </c>
      <c r="U6"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2.083333333333337E-2</v>
      </c>
      <c r="V6" s="78">
        <f>Table2427245[[#This Row],[Travel Time from Work to Home]]*24</f>
        <v>0.50000000000000089</v>
      </c>
      <c r="W6">
        <v>50</v>
      </c>
      <c r="X6" s="15">
        <f>Table2427245[[#This Row],[Travel Time from Work to Home]]+Table2427245[[#This Row],[Travel Time from Home to Work]]</f>
        <v>4.5138888888888951E-2</v>
      </c>
      <c r="Y6" s="16">
        <f>HOUR(Table2427245[[#This Row],[Total Travel Time]])+MINUTE(Table2427245[[#This Row],[Total Travel Time]])/60</f>
        <v>1.0833333333333333</v>
      </c>
      <c r="Z6" s="17">
        <f>Table2427245[[#This Row],[Total travel time in hr]]/(Table2427245[[#This Row],[Total travel time in hr]]+HOUR(Table2427245[[#This Row],[Total Work Hours]])+MINUTE(Table2427245[[#This Row],[Total Work Hours]])/60)</f>
        <v>0.10483870967741934</v>
      </c>
      <c r="AA6" s="18">
        <f>Table2427245[[#This Row],[Total travel time in hr]]/24</f>
        <v>4.5138888888888888E-2</v>
      </c>
      <c r="AB6" s="19">
        <f>Table2427245[[#This Row],[Total travel time in hr]]*22</f>
        <v>23.833333333333332</v>
      </c>
      <c r="AC6" s="19">
        <f>Table2427245[[#This Row],[Total travel time (hr) in a month (22 days)]]/24</f>
        <v>0.99305555555555547</v>
      </c>
      <c r="AD6" s="47">
        <f>Table2427245[[#This Row],[Travel cost]]+Table2427245[[#This Row],[Travel cost ]]</f>
        <v>100</v>
      </c>
      <c r="AE6" s="47">
        <f>Table2427245[[#This Row],[Total Cost]]*22</f>
        <v>2200</v>
      </c>
      <c r="AF6" s="19">
        <f>24-Table2427245[[#This Row],[Total Work Hours in Decimals]]-Table2427245[[#This Row],[Total travel time (hr) in a month (22 days)]]/22</f>
        <v>13.666666666666666</v>
      </c>
      <c r="AG6" s="13"/>
    </row>
    <row r="7" spans="1:33" x14ac:dyDescent="0.25">
      <c r="A7" t="s">
        <v>96</v>
      </c>
      <c r="B7" t="s">
        <v>49</v>
      </c>
      <c r="C7" t="s">
        <v>53</v>
      </c>
      <c r="D7" t="s">
        <v>25</v>
      </c>
      <c r="E7" t="s">
        <v>29</v>
      </c>
      <c r="F7" t="s">
        <v>54</v>
      </c>
      <c r="G7"/>
      <c r="H7" t="s">
        <v>54</v>
      </c>
      <c r="I7"/>
      <c r="J7" s="21">
        <v>0.41666666666666669</v>
      </c>
      <c r="K7" s="14">
        <v>0.375</v>
      </c>
      <c r="L7" s="14">
        <v>0.3888888888888889</v>
      </c>
      <c r="M7"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1.3888888888888895E-2</v>
      </c>
      <c r="N7" s="34">
        <f>Table2427245[[#This Row],[Travel Time from Home to Work]]*24</f>
        <v>0.33333333333333348</v>
      </c>
      <c r="O7">
        <v>0</v>
      </c>
      <c r="P7" s="21">
        <v>0.72916666666666663</v>
      </c>
      <c r="Q7" s="44">
        <v>0.75</v>
      </c>
      <c r="R7" s="44">
        <v>0.78472222222222221</v>
      </c>
      <c r="S7" s="41">
        <f>IF(Table2427245[[#This Row],[End of Work (time)]]&lt;Table2427245[[#This Row],[Start of Work (time)]],Table2427245[[#This Row],[End of Work (time)]]+24-Table2427245[[#This Row],[Start of Work (time)]],Table2427245[[#This Row],[End of Work (time)]]-Table2427245[[#This Row],[Start of Work (time)]])</f>
        <v>0.31249999999999994</v>
      </c>
      <c r="T7" s="79">
        <f>HOUR(Table2427245[[#This Row],[Total Work Hours]])+MINUTE(Table2427245[[#This Row],[Total Work Hours]])/60</f>
        <v>7.5</v>
      </c>
      <c r="U7"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3.472222222222221E-2</v>
      </c>
      <c r="V7" s="78">
        <f>Table2427245[[#This Row],[Travel Time from Work to Home]]*24</f>
        <v>0.83333333333333304</v>
      </c>
      <c r="W7">
        <v>0</v>
      </c>
      <c r="X7" s="15">
        <f>Table2427245[[#This Row],[Travel Time from Work to Home]]+Table2427245[[#This Row],[Travel Time from Home to Work]]</f>
        <v>4.8611111111111105E-2</v>
      </c>
      <c r="Y7" s="16">
        <f>HOUR(Table2427245[[#This Row],[Total Travel Time]])+MINUTE(Table2427245[[#This Row],[Total Travel Time]])/60</f>
        <v>1.1666666666666667</v>
      </c>
      <c r="Z7" s="17">
        <f>Table2427245[[#This Row],[Total travel time in hr]]/(Table2427245[[#This Row],[Total travel time in hr]]+HOUR(Table2427245[[#This Row],[Total Work Hours]])+MINUTE(Table2427245[[#This Row],[Total Work Hours]])/60)</f>
        <v>0.13461538461538464</v>
      </c>
      <c r="AA7" s="18">
        <f>Table2427245[[#This Row],[Total travel time in hr]]/24</f>
        <v>4.8611111111111112E-2</v>
      </c>
      <c r="AB7" s="19">
        <f>Table2427245[[#This Row],[Total travel time in hr]]*22</f>
        <v>25.666666666666668</v>
      </c>
      <c r="AC7" s="19">
        <f>Table2427245[[#This Row],[Total travel time (hr) in a month (22 days)]]/24</f>
        <v>1.0694444444444444</v>
      </c>
      <c r="AD7" s="47">
        <f>Table2427245[[#This Row],[Travel cost]]+Table2427245[[#This Row],[Travel cost ]]</f>
        <v>0</v>
      </c>
      <c r="AE7" s="47">
        <f>Table2427245[[#This Row],[Total Cost]]*22</f>
        <v>0</v>
      </c>
      <c r="AF7" s="19">
        <f>24-Table2427245[[#This Row],[Total Work Hours in Decimals]]-Table2427245[[#This Row],[Total travel time (hr) in a month (22 days)]]/22</f>
        <v>15.333333333333334</v>
      </c>
      <c r="AG7" s="13"/>
    </row>
    <row r="8" spans="1:33" x14ac:dyDescent="0.25">
      <c r="A8" t="s">
        <v>79</v>
      </c>
      <c r="B8" t="s">
        <v>49</v>
      </c>
      <c r="C8" t="s">
        <v>53</v>
      </c>
      <c r="D8" t="s">
        <v>25</v>
      </c>
      <c r="E8" t="s">
        <v>29</v>
      </c>
      <c r="F8" t="s">
        <v>54</v>
      </c>
      <c r="G8"/>
      <c r="H8" t="s">
        <v>54</v>
      </c>
      <c r="I8"/>
      <c r="J8" s="21">
        <v>0.5</v>
      </c>
      <c r="K8" s="14">
        <v>0.41666666666666669</v>
      </c>
      <c r="L8" s="14">
        <v>0.45833333333333331</v>
      </c>
      <c r="M8"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4.166666666666663E-2</v>
      </c>
      <c r="N8" s="34">
        <f>Table2427245[[#This Row],[Travel Time from Home to Work]]*24</f>
        <v>0.99999999999999911</v>
      </c>
      <c r="O8">
        <v>160</v>
      </c>
      <c r="P8" s="21">
        <v>0.95833333333333337</v>
      </c>
      <c r="Q8" s="44">
        <v>0</v>
      </c>
      <c r="R8" s="44">
        <v>1.0416666666666666E-2</v>
      </c>
      <c r="S8" s="41">
        <f>IF(Table2427245[[#This Row],[End of Work (time)]]&lt;Table2427245[[#This Row],[Start of Work (time)]],Table2427245[[#This Row],[End of Work (time)]]+24-Table2427245[[#This Row],[Start of Work (time)]],Table2427245[[#This Row],[End of Work (time)]]-Table2427245[[#This Row],[Start of Work (time)]])</f>
        <v>0.45833333333333337</v>
      </c>
      <c r="T8" s="79">
        <f>HOUR(Table2427245[[#This Row],[Total Work Hours]])+MINUTE(Table2427245[[#This Row],[Total Work Hours]])/60</f>
        <v>11</v>
      </c>
      <c r="U8"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1.0416666666666666E-2</v>
      </c>
      <c r="V8" s="78">
        <f>Table2427245[[#This Row],[Travel Time from Work to Home]]*24</f>
        <v>0.25</v>
      </c>
      <c r="W8">
        <v>0</v>
      </c>
      <c r="X8" s="15">
        <f>Table2427245[[#This Row],[Travel Time from Work to Home]]+Table2427245[[#This Row],[Travel Time from Home to Work]]</f>
        <v>5.2083333333333294E-2</v>
      </c>
      <c r="Y8" s="16">
        <f>HOUR(Table2427245[[#This Row],[Total Travel Time]])+MINUTE(Table2427245[[#This Row],[Total Travel Time]])/60</f>
        <v>1.25</v>
      </c>
      <c r="Z8" s="17">
        <f>Table2427245[[#This Row],[Total travel time in hr]]/(Table2427245[[#This Row],[Total travel time in hr]]+HOUR(Table2427245[[#This Row],[Total Work Hours]])+MINUTE(Table2427245[[#This Row],[Total Work Hours]])/60)</f>
        <v>0.10204081632653061</v>
      </c>
      <c r="AA8" s="18">
        <f>Table2427245[[#This Row],[Total travel time in hr]]/24</f>
        <v>5.2083333333333336E-2</v>
      </c>
      <c r="AB8" s="19">
        <f>Table2427245[[#This Row],[Total travel time in hr]]*22</f>
        <v>27.5</v>
      </c>
      <c r="AC8" s="19">
        <f>Table2427245[[#This Row],[Total travel time (hr) in a month (22 days)]]/24</f>
        <v>1.1458333333333333</v>
      </c>
      <c r="AD8" s="47">
        <f>Table2427245[[#This Row],[Travel cost]]+Table2427245[[#This Row],[Travel cost ]]</f>
        <v>160</v>
      </c>
      <c r="AE8" s="47">
        <f>Table2427245[[#This Row],[Total Cost]]*22</f>
        <v>3520</v>
      </c>
      <c r="AF8" s="19">
        <f>24-Table2427245[[#This Row],[Total Work Hours in Decimals]]-Table2427245[[#This Row],[Total travel time (hr) in a month (22 days)]]/22</f>
        <v>11.75</v>
      </c>
      <c r="AG8" s="13"/>
    </row>
    <row r="9" spans="1:33" x14ac:dyDescent="0.25">
      <c r="A9" t="s">
        <v>88</v>
      </c>
      <c r="B9" t="s">
        <v>49</v>
      </c>
      <c r="C9" t="s">
        <v>53</v>
      </c>
      <c r="D9" t="s">
        <v>25</v>
      </c>
      <c r="E9" t="s">
        <v>29</v>
      </c>
      <c r="F9" t="s">
        <v>63</v>
      </c>
      <c r="G9"/>
      <c r="H9" t="s">
        <v>54</v>
      </c>
      <c r="I9"/>
      <c r="J9" s="21">
        <v>0.58333333333333337</v>
      </c>
      <c r="K9" s="14">
        <v>0.54166666666666663</v>
      </c>
      <c r="L9" s="14">
        <v>0.57291666666666663</v>
      </c>
      <c r="M9"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3.125E-2</v>
      </c>
      <c r="N9" s="34">
        <f>Table2427245[[#This Row],[Travel Time from Home to Work]]*24</f>
        <v>0.75</v>
      </c>
      <c r="O9">
        <v>43</v>
      </c>
      <c r="P9" s="21">
        <v>2.0833333333333332E-2</v>
      </c>
      <c r="Q9" s="44">
        <v>2.0833333333333332E-2</v>
      </c>
      <c r="R9" s="44">
        <v>4.1666666666666664E-2</v>
      </c>
      <c r="S9" s="41">
        <f>IF(Table2427245[[#This Row],[End of Work (time)]]&lt;Table2427245[[#This Row],[Start of Work (time)]],Table2427245[[#This Row],[End of Work (time)]]+24-Table2427245[[#This Row],[Start of Work (time)]],Table2427245[[#This Row],[End of Work (time)]]-Table2427245[[#This Row],[Start of Work (time)]])</f>
        <v>23.4375</v>
      </c>
      <c r="T9" s="79">
        <f>HOUR(Table2427245[[#This Row],[Total Work Hours]])+MINUTE(Table2427245[[#This Row],[Total Work Hours]])/60</f>
        <v>10.5</v>
      </c>
      <c r="U9"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2.0833333333333332E-2</v>
      </c>
      <c r="V9" s="78">
        <f>Table2427245[[#This Row],[Travel Time from Work to Home]]*24</f>
        <v>0.5</v>
      </c>
      <c r="W9">
        <v>0</v>
      </c>
      <c r="X9" s="15">
        <f>Table2427245[[#This Row],[Travel Time from Work to Home]]+Table2427245[[#This Row],[Travel Time from Home to Work]]</f>
        <v>5.2083333333333329E-2</v>
      </c>
      <c r="Y9" s="16">
        <f>HOUR(Table2427245[[#This Row],[Total Travel Time]])+MINUTE(Table2427245[[#This Row],[Total Travel Time]])/60</f>
        <v>1.25</v>
      </c>
      <c r="Z9" s="17">
        <f>Table2427245[[#This Row],[Total travel time in hr]]/(Table2427245[[#This Row],[Total travel time in hr]]+HOUR(Table2427245[[#This Row],[Total Work Hours]])+MINUTE(Table2427245[[#This Row],[Total Work Hours]])/60)</f>
        <v>0.10638297872340426</v>
      </c>
      <c r="AA9" s="18">
        <f>Table2427245[[#This Row],[Total travel time in hr]]/24</f>
        <v>5.2083333333333336E-2</v>
      </c>
      <c r="AB9" s="19">
        <f>Table2427245[[#This Row],[Total travel time in hr]]*22</f>
        <v>27.5</v>
      </c>
      <c r="AC9" s="19">
        <f>Table2427245[[#This Row],[Total travel time (hr) in a month (22 days)]]/24</f>
        <v>1.1458333333333333</v>
      </c>
      <c r="AD9" s="47">
        <f>Table2427245[[#This Row],[Travel cost]]+Table2427245[[#This Row],[Travel cost ]]</f>
        <v>43</v>
      </c>
      <c r="AE9" s="47">
        <f>Table2427245[[#This Row],[Total Cost]]*22</f>
        <v>946</v>
      </c>
      <c r="AF9" s="19">
        <f>24-Table2427245[[#This Row],[Total Work Hours in Decimals]]-Table2427245[[#This Row],[Total travel time (hr) in a month (22 days)]]/22</f>
        <v>12.25</v>
      </c>
      <c r="AG9" s="13"/>
    </row>
    <row r="10" spans="1:33" x14ac:dyDescent="0.25">
      <c r="A10" t="s">
        <v>84</v>
      </c>
      <c r="B10" t="s">
        <v>49</v>
      </c>
      <c r="C10" t="s">
        <v>50</v>
      </c>
      <c r="D10" t="s">
        <v>26</v>
      </c>
      <c r="E10" t="s">
        <v>29</v>
      </c>
      <c r="F10" t="s">
        <v>60</v>
      </c>
      <c r="G10"/>
      <c r="H10" t="s">
        <v>54</v>
      </c>
      <c r="I10"/>
      <c r="J10" s="21">
        <v>0.58333333333333337</v>
      </c>
      <c r="K10" s="14">
        <v>0.54166666666666663</v>
      </c>
      <c r="L10" s="14">
        <v>0.58333333333333337</v>
      </c>
      <c r="M10"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4.1666666666666741E-2</v>
      </c>
      <c r="N10" s="34">
        <f>Table2427245[[#This Row],[Travel Time from Home to Work]]*24</f>
        <v>1.0000000000000018</v>
      </c>
      <c r="O10">
        <v>49</v>
      </c>
      <c r="P10" s="21">
        <v>0</v>
      </c>
      <c r="Q10" s="44">
        <v>0</v>
      </c>
      <c r="R10" s="44">
        <v>1.0416666666666666E-2</v>
      </c>
      <c r="S10" s="41">
        <f>IF(Table2427245[[#This Row],[End of Work (time)]]&lt;Table2427245[[#This Row],[Start of Work (time)]],Table2427245[[#This Row],[End of Work (time)]]+24-Table2427245[[#This Row],[Start of Work (time)]],Table2427245[[#This Row],[End of Work (time)]]-Table2427245[[#This Row],[Start of Work (time)]])</f>
        <v>23.416666666666668</v>
      </c>
      <c r="T10" s="79">
        <f>HOUR(Table2427245[[#This Row],[Total Work Hours]])+MINUTE(Table2427245[[#This Row],[Total Work Hours]])/60</f>
        <v>10</v>
      </c>
      <c r="U10"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1.0416666666666666E-2</v>
      </c>
      <c r="V10" s="78">
        <f>Table2427245[[#This Row],[Travel Time from Work to Home]]*24</f>
        <v>0.25</v>
      </c>
      <c r="W10">
        <v>0</v>
      </c>
      <c r="X10" s="15">
        <f>Table2427245[[#This Row],[Travel Time from Work to Home]]+Table2427245[[#This Row],[Travel Time from Home to Work]]</f>
        <v>5.2083333333333405E-2</v>
      </c>
      <c r="Y10" s="16">
        <f>HOUR(Table2427245[[#This Row],[Total Travel Time]])+MINUTE(Table2427245[[#This Row],[Total Travel Time]])/60</f>
        <v>1.25</v>
      </c>
      <c r="Z10" s="17">
        <f>Table2427245[[#This Row],[Total travel time in hr]]/(Table2427245[[#This Row],[Total travel time in hr]]+HOUR(Table2427245[[#This Row],[Total Work Hours]])+MINUTE(Table2427245[[#This Row],[Total Work Hours]])/60)</f>
        <v>0.1111111111111111</v>
      </c>
      <c r="AA10" s="18">
        <f>Table2427245[[#This Row],[Total travel time in hr]]/24</f>
        <v>5.2083333333333336E-2</v>
      </c>
      <c r="AB10" s="19">
        <f>Table2427245[[#This Row],[Total travel time in hr]]*22</f>
        <v>27.5</v>
      </c>
      <c r="AC10" s="19">
        <f>Table2427245[[#This Row],[Total travel time (hr) in a month (22 days)]]/24</f>
        <v>1.1458333333333333</v>
      </c>
      <c r="AD10" s="47">
        <f>Table2427245[[#This Row],[Travel cost]]+Table2427245[[#This Row],[Travel cost ]]</f>
        <v>49</v>
      </c>
      <c r="AE10" s="47">
        <f>Table2427245[[#This Row],[Total Cost]]*22</f>
        <v>1078</v>
      </c>
      <c r="AF10" s="19">
        <f>24-Table2427245[[#This Row],[Total Work Hours in Decimals]]-Table2427245[[#This Row],[Total travel time (hr) in a month (22 days)]]/22</f>
        <v>12.75</v>
      </c>
      <c r="AG10" s="13"/>
    </row>
    <row r="11" spans="1:33" x14ac:dyDescent="0.25">
      <c r="A11" t="s">
        <v>108</v>
      </c>
      <c r="B11" t="s">
        <v>49</v>
      </c>
      <c r="C11" t="s">
        <v>50</v>
      </c>
      <c r="D11" t="s">
        <v>25</v>
      </c>
      <c r="E11" t="s">
        <v>29</v>
      </c>
      <c r="F11" t="s">
        <v>72</v>
      </c>
      <c r="G11"/>
      <c r="H11" t="s">
        <v>61</v>
      </c>
      <c r="I11"/>
      <c r="J11" s="21">
        <v>0.25</v>
      </c>
      <c r="K11" s="14">
        <v>0.20833333333333334</v>
      </c>
      <c r="L11" s="14">
        <v>0.22916666666666666</v>
      </c>
      <c r="M11"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2.0833333333333315E-2</v>
      </c>
      <c r="N11" s="34">
        <f>Table2427245[[#This Row],[Travel Time from Home to Work]]*24</f>
        <v>0.49999999999999956</v>
      </c>
      <c r="O11">
        <v>19</v>
      </c>
      <c r="P11" s="21">
        <v>0.58333333333333337</v>
      </c>
      <c r="Q11" s="44">
        <v>0.58333333333333337</v>
      </c>
      <c r="R11" s="44">
        <v>0.625</v>
      </c>
      <c r="S11" s="41">
        <f>IF(Table2427245[[#This Row],[End of Work (time)]]&lt;Table2427245[[#This Row],[Start of Work (time)]],Table2427245[[#This Row],[End of Work (time)]]+24-Table2427245[[#This Row],[Start of Work (time)]],Table2427245[[#This Row],[End of Work (time)]]-Table2427245[[#This Row],[Start of Work (time)]])</f>
        <v>0.33333333333333337</v>
      </c>
      <c r="T11" s="79">
        <f>HOUR(Table2427245[[#This Row],[Total Work Hours]])+MINUTE(Table2427245[[#This Row],[Total Work Hours]])/60</f>
        <v>8</v>
      </c>
      <c r="U11"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4.166666666666663E-2</v>
      </c>
      <c r="V11" s="78">
        <f>Table2427245[[#This Row],[Travel Time from Work to Home]]*24</f>
        <v>0.99999999999999911</v>
      </c>
      <c r="W11">
        <v>30</v>
      </c>
      <c r="X11" s="15">
        <f>Table2427245[[#This Row],[Travel Time from Work to Home]]+Table2427245[[#This Row],[Travel Time from Home to Work]]</f>
        <v>6.2499999999999944E-2</v>
      </c>
      <c r="Y11" s="16">
        <f>HOUR(Table2427245[[#This Row],[Total Travel Time]])+MINUTE(Table2427245[[#This Row],[Total Travel Time]])/60</f>
        <v>1.5</v>
      </c>
      <c r="Z11" s="17">
        <f>Table2427245[[#This Row],[Total travel time in hr]]/(Table2427245[[#This Row],[Total travel time in hr]]+HOUR(Table2427245[[#This Row],[Total Work Hours]])+MINUTE(Table2427245[[#This Row],[Total Work Hours]])/60)</f>
        <v>0.15789473684210525</v>
      </c>
      <c r="AA11" s="18">
        <f>Table2427245[[#This Row],[Total travel time in hr]]/24</f>
        <v>6.25E-2</v>
      </c>
      <c r="AB11" s="19">
        <f>Table2427245[[#This Row],[Total travel time in hr]]*22</f>
        <v>33</v>
      </c>
      <c r="AC11" s="19">
        <f>Table2427245[[#This Row],[Total travel time (hr) in a month (22 days)]]/24</f>
        <v>1.375</v>
      </c>
      <c r="AD11" s="47">
        <f>Table2427245[[#This Row],[Travel cost]]+Table2427245[[#This Row],[Travel cost ]]</f>
        <v>49</v>
      </c>
      <c r="AE11" s="47">
        <f>Table2427245[[#This Row],[Total Cost]]*22</f>
        <v>1078</v>
      </c>
      <c r="AF11" s="19">
        <f>24-Table2427245[[#This Row],[Total Work Hours in Decimals]]-Table2427245[[#This Row],[Total travel time (hr) in a month (22 days)]]/22</f>
        <v>14.5</v>
      </c>
      <c r="AG11" s="13"/>
    </row>
    <row r="12" spans="1:33" x14ac:dyDescent="0.25">
      <c r="A12" t="s">
        <v>117</v>
      </c>
      <c r="B12" t="s">
        <v>49</v>
      </c>
      <c r="C12" t="s">
        <v>50</v>
      </c>
      <c r="D12" t="s">
        <v>25</v>
      </c>
      <c r="E12" t="s">
        <v>29</v>
      </c>
      <c r="F12" t="s">
        <v>65</v>
      </c>
      <c r="G12"/>
      <c r="H12" t="s">
        <v>54</v>
      </c>
      <c r="I12"/>
      <c r="J12" s="21">
        <v>0.58333333333333337</v>
      </c>
      <c r="K12" s="14">
        <v>0.58333333333333337</v>
      </c>
      <c r="L12" s="14">
        <v>0.625</v>
      </c>
      <c r="M12"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4.166666666666663E-2</v>
      </c>
      <c r="N12" s="34">
        <f>Table2427245[[#This Row],[Travel Time from Home to Work]]*24</f>
        <v>0.99999999999999911</v>
      </c>
      <c r="O12">
        <v>34</v>
      </c>
      <c r="P12" s="21">
        <v>2.0833333333333332E-2</v>
      </c>
      <c r="Q12" s="44">
        <v>0</v>
      </c>
      <c r="R12" s="44">
        <v>2.0833333333333332E-2</v>
      </c>
      <c r="S12" s="41">
        <f>IF(Table2427245[[#This Row],[End of Work (time)]]&lt;Table2427245[[#This Row],[Start of Work (time)]],Table2427245[[#This Row],[End of Work (time)]]+24-Table2427245[[#This Row],[Start of Work (time)]],Table2427245[[#This Row],[End of Work (time)]]-Table2427245[[#This Row],[Start of Work (time)]])</f>
        <v>23.4375</v>
      </c>
      <c r="T12" s="79">
        <f>HOUR(Table2427245[[#This Row],[Total Work Hours]])+MINUTE(Table2427245[[#This Row],[Total Work Hours]])/60</f>
        <v>10.5</v>
      </c>
      <c r="U12"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2.0833333333333332E-2</v>
      </c>
      <c r="V12" s="78">
        <f>Table2427245[[#This Row],[Travel Time from Work to Home]]*24</f>
        <v>0.5</v>
      </c>
      <c r="W12">
        <v>0</v>
      </c>
      <c r="X12" s="15">
        <f>Table2427245[[#This Row],[Travel Time from Work to Home]]+Table2427245[[#This Row],[Travel Time from Home to Work]]</f>
        <v>6.2499999999999958E-2</v>
      </c>
      <c r="Y12" s="16">
        <f>HOUR(Table2427245[[#This Row],[Total Travel Time]])+MINUTE(Table2427245[[#This Row],[Total Travel Time]])/60</f>
        <v>1.5</v>
      </c>
      <c r="Z12" s="17">
        <f>Table2427245[[#This Row],[Total travel time in hr]]/(Table2427245[[#This Row],[Total travel time in hr]]+HOUR(Table2427245[[#This Row],[Total Work Hours]])+MINUTE(Table2427245[[#This Row],[Total Work Hours]])/60)</f>
        <v>0.125</v>
      </c>
      <c r="AA12" s="18">
        <f>Table2427245[[#This Row],[Total travel time in hr]]/24</f>
        <v>6.25E-2</v>
      </c>
      <c r="AB12" s="19">
        <f>Table2427245[[#This Row],[Total travel time in hr]]*22</f>
        <v>33</v>
      </c>
      <c r="AC12" s="19">
        <f>Table2427245[[#This Row],[Total travel time (hr) in a month (22 days)]]/24</f>
        <v>1.375</v>
      </c>
      <c r="AD12" s="47">
        <f>Table2427245[[#This Row],[Travel cost]]+Table2427245[[#This Row],[Travel cost ]]</f>
        <v>34</v>
      </c>
      <c r="AE12" s="47">
        <f>Table2427245[[#This Row],[Total Cost]]*22</f>
        <v>748</v>
      </c>
      <c r="AF12" s="19">
        <f>24-Table2427245[[#This Row],[Total Work Hours in Decimals]]-Table2427245[[#This Row],[Total travel time (hr) in a month (22 days)]]/22</f>
        <v>12</v>
      </c>
      <c r="AG12" s="13"/>
    </row>
    <row r="13" spans="1:33" x14ac:dyDescent="0.25">
      <c r="A13" t="s">
        <v>94</v>
      </c>
      <c r="B13" t="s">
        <v>64</v>
      </c>
      <c r="C13" t="s">
        <v>50</v>
      </c>
      <c r="D13" t="s">
        <v>25</v>
      </c>
      <c r="E13" t="s">
        <v>29</v>
      </c>
      <c r="F13" t="s">
        <v>52</v>
      </c>
      <c r="G13"/>
      <c r="H13" t="s">
        <v>54</v>
      </c>
      <c r="I13"/>
      <c r="J13" s="21">
        <v>0.5</v>
      </c>
      <c r="K13" s="14">
        <v>0.46875</v>
      </c>
      <c r="L13" s="14">
        <v>0.5</v>
      </c>
      <c r="M13"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3.125E-2</v>
      </c>
      <c r="N13" s="34">
        <f>Table2427245[[#This Row],[Travel Time from Home to Work]]*24</f>
        <v>0.75</v>
      </c>
      <c r="O13">
        <v>20</v>
      </c>
      <c r="P13" s="21">
        <v>0.83333333333333337</v>
      </c>
      <c r="Q13" s="44">
        <v>0.83333333333333337</v>
      </c>
      <c r="R13" s="44">
        <v>0.875</v>
      </c>
      <c r="S13" s="41">
        <f>IF(Table2427245[[#This Row],[End of Work (time)]]&lt;Table2427245[[#This Row],[Start of Work (time)]],Table2427245[[#This Row],[End of Work (time)]]+24-Table2427245[[#This Row],[Start of Work (time)]],Table2427245[[#This Row],[End of Work (time)]]-Table2427245[[#This Row],[Start of Work (time)]])</f>
        <v>0.33333333333333337</v>
      </c>
      <c r="T13" s="79">
        <f>HOUR(Table2427245[[#This Row],[Total Work Hours]])+MINUTE(Table2427245[[#This Row],[Total Work Hours]])/60</f>
        <v>8</v>
      </c>
      <c r="U13"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4.166666666666663E-2</v>
      </c>
      <c r="V13" s="78">
        <f>Table2427245[[#This Row],[Travel Time from Work to Home]]*24</f>
        <v>0.99999999999999911</v>
      </c>
      <c r="W13">
        <v>20</v>
      </c>
      <c r="X13" s="15">
        <f>Table2427245[[#This Row],[Travel Time from Work to Home]]+Table2427245[[#This Row],[Travel Time from Home to Work]]</f>
        <v>7.291666666666663E-2</v>
      </c>
      <c r="Y13" s="16">
        <f>HOUR(Table2427245[[#This Row],[Total Travel Time]])+MINUTE(Table2427245[[#This Row],[Total Travel Time]])/60</f>
        <v>1.75</v>
      </c>
      <c r="Z13" s="17">
        <f>Table2427245[[#This Row],[Total travel time in hr]]/(Table2427245[[#This Row],[Total travel time in hr]]+HOUR(Table2427245[[#This Row],[Total Work Hours]])+MINUTE(Table2427245[[#This Row],[Total Work Hours]])/60)</f>
        <v>0.17948717948717949</v>
      </c>
      <c r="AA13" s="18">
        <f>Table2427245[[#This Row],[Total travel time in hr]]/24</f>
        <v>7.2916666666666671E-2</v>
      </c>
      <c r="AB13" s="19">
        <f>Table2427245[[#This Row],[Total travel time in hr]]*22</f>
        <v>38.5</v>
      </c>
      <c r="AC13" s="19">
        <f>Table2427245[[#This Row],[Total travel time (hr) in a month (22 days)]]/24</f>
        <v>1.6041666666666667</v>
      </c>
      <c r="AD13" s="47">
        <f>Table2427245[[#This Row],[Travel cost]]+Table2427245[[#This Row],[Travel cost ]]</f>
        <v>40</v>
      </c>
      <c r="AE13" s="47">
        <f>Table2427245[[#This Row],[Total Cost]]*22</f>
        <v>880</v>
      </c>
      <c r="AF13" s="19">
        <f>24-Table2427245[[#This Row],[Total Work Hours in Decimals]]-Table2427245[[#This Row],[Total travel time (hr) in a month (22 days)]]/22</f>
        <v>14.25</v>
      </c>
      <c r="AG13" s="13"/>
    </row>
    <row r="14" spans="1:33" x14ac:dyDescent="0.25">
      <c r="A14" t="s">
        <v>113</v>
      </c>
      <c r="B14" t="s">
        <v>64</v>
      </c>
      <c r="C14" t="s">
        <v>50</v>
      </c>
      <c r="D14" t="s">
        <v>26</v>
      </c>
      <c r="E14" t="s">
        <v>29</v>
      </c>
      <c r="F14" t="s">
        <v>55</v>
      </c>
      <c r="G14" t="s">
        <v>58</v>
      </c>
      <c r="H14" t="s">
        <v>61</v>
      </c>
      <c r="I14"/>
      <c r="J14" s="21">
        <v>0.25</v>
      </c>
      <c r="K14" s="14">
        <v>0.19791666666666666</v>
      </c>
      <c r="L14" s="14">
        <v>0.22916666666666666</v>
      </c>
      <c r="M14"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3.125E-2</v>
      </c>
      <c r="N14" s="34">
        <f>Table2427245[[#This Row],[Travel Time from Home to Work]]*24</f>
        <v>0.75</v>
      </c>
      <c r="O14">
        <v>50</v>
      </c>
      <c r="P14" s="21">
        <v>0.58333333333333337</v>
      </c>
      <c r="Q14" s="44">
        <v>0.58333333333333337</v>
      </c>
      <c r="R14" s="44">
        <v>0.625</v>
      </c>
      <c r="S14" s="41">
        <f>IF(Table2427245[[#This Row],[End of Work (time)]]&lt;Table2427245[[#This Row],[Start of Work (time)]],Table2427245[[#This Row],[End of Work (time)]]+24-Table2427245[[#This Row],[Start of Work (time)]],Table2427245[[#This Row],[End of Work (time)]]-Table2427245[[#This Row],[Start of Work (time)]])</f>
        <v>0.33333333333333337</v>
      </c>
      <c r="T14" s="79">
        <f>HOUR(Table2427245[[#This Row],[Total Work Hours]])+MINUTE(Table2427245[[#This Row],[Total Work Hours]])/60</f>
        <v>8</v>
      </c>
      <c r="U14"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4.166666666666663E-2</v>
      </c>
      <c r="V14" s="78">
        <f>Table2427245[[#This Row],[Travel Time from Work to Home]]*24</f>
        <v>0.99999999999999911</v>
      </c>
      <c r="W14">
        <v>50</v>
      </c>
      <c r="X14" s="15">
        <f>Table2427245[[#This Row],[Travel Time from Work to Home]]+Table2427245[[#This Row],[Travel Time from Home to Work]]</f>
        <v>7.291666666666663E-2</v>
      </c>
      <c r="Y14" s="16">
        <f>HOUR(Table2427245[[#This Row],[Total Travel Time]])+MINUTE(Table2427245[[#This Row],[Total Travel Time]])/60</f>
        <v>1.75</v>
      </c>
      <c r="Z14" s="17">
        <f>Table2427245[[#This Row],[Total travel time in hr]]/(Table2427245[[#This Row],[Total travel time in hr]]+HOUR(Table2427245[[#This Row],[Total Work Hours]])+MINUTE(Table2427245[[#This Row],[Total Work Hours]])/60)</f>
        <v>0.17948717948717949</v>
      </c>
      <c r="AA14" s="18">
        <f>Table2427245[[#This Row],[Total travel time in hr]]/24</f>
        <v>7.2916666666666671E-2</v>
      </c>
      <c r="AB14" s="19">
        <f>Table2427245[[#This Row],[Total travel time in hr]]*22</f>
        <v>38.5</v>
      </c>
      <c r="AC14" s="19">
        <f>Table2427245[[#This Row],[Total travel time (hr) in a month (22 days)]]/24</f>
        <v>1.6041666666666667</v>
      </c>
      <c r="AD14" s="47">
        <f>Table2427245[[#This Row],[Travel cost]]+Table2427245[[#This Row],[Travel cost ]]</f>
        <v>100</v>
      </c>
      <c r="AE14" s="47">
        <f>Table2427245[[#This Row],[Total Cost]]*22</f>
        <v>2200</v>
      </c>
      <c r="AF14" s="19">
        <f>24-Table2427245[[#This Row],[Total Work Hours in Decimals]]-Table2427245[[#This Row],[Total travel time (hr) in a month (22 days)]]/22</f>
        <v>14.25</v>
      </c>
      <c r="AG14" s="13"/>
    </row>
    <row r="15" spans="1:33" x14ac:dyDescent="0.25">
      <c r="A15" t="s">
        <v>95</v>
      </c>
      <c r="B15" t="s">
        <v>49</v>
      </c>
      <c r="C15" t="s">
        <v>53</v>
      </c>
      <c r="D15" t="s">
        <v>25</v>
      </c>
      <c r="E15" t="s">
        <v>29</v>
      </c>
      <c r="F15" t="s">
        <v>52</v>
      </c>
      <c r="G15"/>
      <c r="H15" t="s">
        <v>52</v>
      </c>
      <c r="I15"/>
      <c r="J15" s="21">
        <v>0.33333333333333331</v>
      </c>
      <c r="K15" s="14">
        <v>0.3125</v>
      </c>
      <c r="L15" s="14">
        <v>0.32291666666666669</v>
      </c>
      <c r="M15"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1.0416666666666685E-2</v>
      </c>
      <c r="N15" s="34">
        <f>Table2427245[[#This Row],[Travel Time from Home to Work]]*24</f>
        <v>0.25000000000000044</v>
      </c>
      <c r="O15">
        <v>8</v>
      </c>
      <c r="P15" s="21">
        <v>0.70833333333333337</v>
      </c>
      <c r="Q15" s="44">
        <v>0.72916666666666663</v>
      </c>
      <c r="R15" s="44">
        <v>0.79166666666666663</v>
      </c>
      <c r="S15" s="41">
        <f>IF(Table2427245[[#This Row],[End of Work (time)]]&lt;Table2427245[[#This Row],[Start of Work (time)]],Table2427245[[#This Row],[End of Work (time)]]+24-Table2427245[[#This Row],[Start of Work (time)]],Table2427245[[#This Row],[End of Work (time)]]-Table2427245[[#This Row],[Start of Work (time)]])</f>
        <v>0.37500000000000006</v>
      </c>
      <c r="T15" s="79">
        <f>HOUR(Table2427245[[#This Row],[Total Work Hours]])+MINUTE(Table2427245[[#This Row],[Total Work Hours]])/60</f>
        <v>9</v>
      </c>
      <c r="U15"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6.25E-2</v>
      </c>
      <c r="V15" s="78">
        <f>Table2427245[[#This Row],[Travel Time from Work to Home]]*24</f>
        <v>1.5</v>
      </c>
      <c r="W15">
        <v>8</v>
      </c>
      <c r="X15" s="15">
        <f>Table2427245[[#This Row],[Travel Time from Work to Home]]+Table2427245[[#This Row],[Travel Time from Home to Work]]</f>
        <v>7.2916666666666685E-2</v>
      </c>
      <c r="Y15" s="16">
        <f>HOUR(Table2427245[[#This Row],[Total Travel Time]])+MINUTE(Table2427245[[#This Row],[Total Travel Time]])/60</f>
        <v>1.75</v>
      </c>
      <c r="Z15" s="17">
        <f>Table2427245[[#This Row],[Total travel time in hr]]/(Table2427245[[#This Row],[Total travel time in hr]]+HOUR(Table2427245[[#This Row],[Total Work Hours]])+MINUTE(Table2427245[[#This Row],[Total Work Hours]])/60)</f>
        <v>0.16279069767441862</v>
      </c>
      <c r="AA15" s="18">
        <f>Table2427245[[#This Row],[Total travel time in hr]]/24</f>
        <v>7.2916666666666671E-2</v>
      </c>
      <c r="AB15" s="19">
        <f>Table2427245[[#This Row],[Total travel time in hr]]*22</f>
        <v>38.5</v>
      </c>
      <c r="AC15" s="19">
        <f>Table2427245[[#This Row],[Total travel time (hr) in a month (22 days)]]/24</f>
        <v>1.6041666666666667</v>
      </c>
      <c r="AD15" s="47">
        <f>Table2427245[[#This Row],[Travel cost]]+Table2427245[[#This Row],[Travel cost ]]</f>
        <v>16</v>
      </c>
      <c r="AE15" s="47">
        <f>Table2427245[[#This Row],[Total Cost]]*22</f>
        <v>352</v>
      </c>
      <c r="AF15" s="19">
        <f>24-Table2427245[[#This Row],[Total Work Hours in Decimals]]-Table2427245[[#This Row],[Total travel time (hr) in a month (22 days)]]/22</f>
        <v>13.25</v>
      </c>
      <c r="AG15" s="13"/>
    </row>
    <row r="16" spans="1:33" x14ac:dyDescent="0.25">
      <c r="A16" t="s">
        <v>102</v>
      </c>
      <c r="B16" t="s">
        <v>49</v>
      </c>
      <c r="C16" t="s">
        <v>53</v>
      </c>
      <c r="D16" t="s">
        <v>25</v>
      </c>
      <c r="E16" t="s">
        <v>29</v>
      </c>
      <c r="F16" t="s">
        <v>59</v>
      </c>
      <c r="G16"/>
      <c r="H16" t="s">
        <v>60</v>
      </c>
      <c r="I16"/>
      <c r="J16" s="21">
        <v>0.47916666666666669</v>
      </c>
      <c r="K16" s="14">
        <v>0.45833333333333331</v>
      </c>
      <c r="L16" s="14">
        <v>0.47916666666666669</v>
      </c>
      <c r="M16"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2.083333333333337E-2</v>
      </c>
      <c r="N16" s="34">
        <f>Table2427245[[#This Row],[Travel Time from Home to Work]]*24</f>
        <v>0.50000000000000089</v>
      </c>
      <c r="O16">
        <v>0</v>
      </c>
      <c r="P16" s="21">
        <v>0.85416666666666663</v>
      </c>
      <c r="Q16" s="44">
        <v>0.85416666666666663</v>
      </c>
      <c r="R16" s="44">
        <v>0.90625</v>
      </c>
      <c r="S16" s="41">
        <f>IF(Table2427245[[#This Row],[End of Work (time)]]&lt;Table2427245[[#This Row],[Start of Work (time)]],Table2427245[[#This Row],[End of Work (time)]]+24-Table2427245[[#This Row],[Start of Work (time)]],Table2427245[[#This Row],[End of Work (time)]]-Table2427245[[#This Row],[Start of Work (time)]])</f>
        <v>0.37499999999999994</v>
      </c>
      <c r="T16" s="79">
        <f>HOUR(Table2427245[[#This Row],[Total Work Hours]])+MINUTE(Table2427245[[#This Row],[Total Work Hours]])/60</f>
        <v>9</v>
      </c>
      <c r="U16"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5.208333333333337E-2</v>
      </c>
      <c r="V16" s="78">
        <f>Table2427245[[#This Row],[Travel Time from Work to Home]]*24</f>
        <v>1.2500000000000009</v>
      </c>
      <c r="W16">
        <v>20</v>
      </c>
      <c r="X16" s="15">
        <f>Table2427245[[#This Row],[Travel Time from Work to Home]]+Table2427245[[#This Row],[Travel Time from Home to Work]]</f>
        <v>7.2916666666666741E-2</v>
      </c>
      <c r="Y16" s="16">
        <f>HOUR(Table2427245[[#This Row],[Total Travel Time]])+MINUTE(Table2427245[[#This Row],[Total Travel Time]])/60</f>
        <v>1.75</v>
      </c>
      <c r="Z16" s="17">
        <f>Table2427245[[#This Row],[Total travel time in hr]]/(Table2427245[[#This Row],[Total travel time in hr]]+HOUR(Table2427245[[#This Row],[Total Work Hours]])+MINUTE(Table2427245[[#This Row],[Total Work Hours]])/60)</f>
        <v>0.16279069767441862</v>
      </c>
      <c r="AA16" s="18">
        <f>Table2427245[[#This Row],[Total travel time in hr]]/24</f>
        <v>7.2916666666666671E-2</v>
      </c>
      <c r="AB16" s="19">
        <f>Table2427245[[#This Row],[Total travel time in hr]]*22</f>
        <v>38.5</v>
      </c>
      <c r="AC16" s="19">
        <f>Table2427245[[#This Row],[Total travel time (hr) in a month (22 days)]]/24</f>
        <v>1.6041666666666667</v>
      </c>
      <c r="AD16" s="47">
        <f>Table2427245[[#This Row],[Travel cost]]+Table2427245[[#This Row],[Travel cost ]]</f>
        <v>20</v>
      </c>
      <c r="AE16" s="47">
        <f>Table2427245[[#This Row],[Total Cost]]*22</f>
        <v>440</v>
      </c>
      <c r="AF16" s="19">
        <f>24-Table2427245[[#This Row],[Total Work Hours in Decimals]]-Table2427245[[#This Row],[Total travel time (hr) in a month (22 days)]]/22</f>
        <v>13.25</v>
      </c>
      <c r="AG16" s="13"/>
    </row>
    <row r="17" spans="1:33" x14ac:dyDescent="0.25">
      <c r="A17" t="s">
        <v>98</v>
      </c>
      <c r="B17" t="s">
        <v>64</v>
      </c>
      <c r="C17" t="s">
        <v>76</v>
      </c>
      <c r="D17" t="s">
        <v>25</v>
      </c>
      <c r="E17" t="s">
        <v>27</v>
      </c>
      <c r="F17" t="s">
        <v>59</v>
      </c>
      <c r="G17"/>
      <c r="H17" t="s">
        <v>65</v>
      </c>
      <c r="I17"/>
      <c r="J17" s="21">
        <v>0.33333333333333331</v>
      </c>
      <c r="K17" s="14">
        <v>0.29166666666666669</v>
      </c>
      <c r="L17" s="14">
        <v>0.3263888888888889</v>
      </c>
      <c r="M17"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3.472222222222221E-2</v>
      </c>
      <c r="N17" s="34">
        <f>Table2427245[[#This Row],[Travel Time from Home to Work]]*24</f>
        <v>0.83333333333333304</v>
      </c>
      <c r="O17">
        <v>60</v>
      </c>
      <c r="P17" s="21">
        <v>0.68055555555555547</v>
      </c>
      <c r="Q17" s="44">
        <v>0.6875</v>
      </c>
      <c r="R17" s="44">
        <v>0.72916666666666663</v>
      </c>
      <c r="S17" s="41">
        <f>IF(Table2427245[[#This Row],[End of Work (time)]]&lt;Table2427245[[#This Row],[Start of Work (time)]],Table2427245[[#This Row],[End of Work (time)]]+24-Table2427245[[#This Row],[Start of Work (time)]],Table2427245[[#This Row],[End of Work (time)]]-Table2427245[[#This Row],[Start of Work (time)]])</f>
        <v>0.34722222222222215</v>
      </c>
      <c r="T17" s="79">
        <f>HOUR(Table2427245[[#This Row],[Total Work Hours]])+MINUTE(Table2427245[[#This Row],[Total Work Hours]])/60</f>
        <v>8.3333333333333339</v>
      </c>
      <c r="U17"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4.166666666666663E-2</v>
      </c>
      <c r="V17" s="78">
        <f>Table2427245[[#This Row],[Travel Time from Work to Home]]*24</f>
        <v>0.99999999999999911</v>
      </c>
      <c r="W17">
        <v>60</v>
      </c>
      <c r="X17" s="15">
        <f>Table2427245[[#This Row],[Travel Time from Work to Home]]+Table2427245[[#This Row],[Travel Time from Home to Work]]</f>
        <v>7.638888888888884E-2</v>
      </c>
      <c r="Y17" s="16">
        <f>HOUR(Table2427245[[#This Row],[Total Travel Time]])+MINUTE(Table2427245[[#This Row],[Total Travel Time]])/60</f>
        <v>1.8333333333333335</v>
      </c>
      <c r="Z17" s="17">
        <f>Table2427245[[#This Row],[Total travel time in hr]]/(Table2427245[[#This Row],[Total travel time in hr]]+HOUR(Table2427245[[#This Row],[Total Work Hours]])+MINUTE(Table2427245[[#This Row],[Total Work Hours]])/60)</f>
        <v>0.18032786885245902</v>
      </c>
      <c r="AA17" s="18">
        <f>Table2427245[[#This Row],[Total travel time in hr]]/24</f>
        <v>7.6388888888888895E-2</v>
      </c>
      <c r="AB17" s="19">
        <f>Table2427245[[#This Row],[Total travel time in hr]]*22</f>
        <v>40.333333333333336</v>
      </c>
      <c r="AC17" s="19">
        <f>Table2427245[[#This Row],[Total travel time (hr) in a month (22 days)]]/24</f>
        <v>1.6805555555555556</v>
      </c>
      <c r="AD17" s="47">
        <f>Table2427245[[#This Row],[Travel cost]]+Table2427245[[#This Row],[Travel cost ]]</f>
        <v>120</v>
      </c>
      <c r="AE17" s="47">
        <f>Table2427245[[#This Row],[Total Cost]]*22</f>
        <v>2640</v>
      </c>
      <c r="AF17" s="19">
        <f>24-Table2427245[[#This Row],[Total Work Hours in Decimals]]-Table2427245[[#This Row],[Total travel time (hr) in a month (22 days)]]/22</f>
        <v>13.833333333333332</v>
      </c>
      <c r="AG17" s="13"/>
    </row>
    <row r="18" spans="1:33" x14ac:dyDescent="0.25">
      <c r="A18" t="s">
        <v>91</v>
      </c>
      <c r="B18" t="s">
        <v>49</v>
      </c>
      <c r="C18" t="s">
        <v>50</v>
      </c>
      <c r="D18" t="s">
        <v>25</v>
      </c>
      <c r="E18" t="s">
        <v>29</v>
      </c>
      <c r="F18" t="s">
        <v>52</v>
      </c>
      <c r="G18"/>
      <c r="H18" t="s">
        <v>52</v>
      </c>
      <c r="I18"/>
      <c r="J18" s="21">
        <v>0.41666666666666669</v>
      </c>
      <c r="K18" s="14">
        <v>0.39583333333333331</v>
      </c>
      <c r="L18" s="14">
        <v>0.41666666666666669</v>
      </c>
      <c r="M18"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2.083333333333337E-2</v>
      </c>
      <c r="N18" s="34">
        <f>Table2427245[[#This Row],[Travel Time from Home to Work]]*24</f>
        <v>0.50000000000000089</v>
      </c>
      <c r="O18">
        <v>9</v>
      </c>
      <c r="P18" s="21">
        <v>0.77083333333333337</v>
      </c>
      <c r="Q18" s="44">
        <v>0.77083333333333337</v>
      </c>
      <c r="R18" s="44">
        <v>0.83333333333333337</v>
      </c>
      <c r="S18" s="41">
        <f>IF(Table2427245[[#This Row],[End of Work (time)]]&lt;Table2427245[[#This Row],[Start of Work (time)]],Table2427245[[#This Row],[End of Work (time)]]+24-Table2427245[[#This Row],[Start of Work (time)]],Table2427245[[#This Row],[End of Work (time)]]-Table2427245[[#This Row],[Start of Work (time)]])</f>
        <v>0.35416666666666669</v>
      </c>
      <c r="T18" s="79">
        <f>HOUR(Table2427245[[#This Row],[Total Work Hours]])+MINUTE(Table2427245[[#This Row],[Total Work Hours]])/60</f>
        <v>8.5</v>
      </c>
      <c r="U18"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6.25E-2</v>
      </c>
      <c r="V18" s="78">
        <f>Table2427245[[#This Row],[Travel Time from Work to Home]]*24</f>
        <v>1.5</v>
      </c>
      <c r="W18">
        <v>18</v>
      </c>
      <c r="X18" s="15">
        <f>Table2427245[[#This Row],[Travel Time from Work to Home]]+Table2427245[[#This Row],[Travel Time from Home to Work]]</f>
        <v>8.333333333333337E-2</v>
      </c>
      <c r="Y18" s="16">
        <f>HOUR(Table2427245[[#This Row],[Total Travel Time]])+MINUTE(Table2427245[[#This Row],[Total Travel Time]])/60</f>
        <v>2</v>
      </c>
      <c r="Z18" s="17">
        <f>Table2427245[[#This Row],[Total travel time in hr]]/(Table2427245[[#This Row],[Total travel time in hr]]+HOUR(Table2427245[[#This Row],[Total Work Hours]])+MINUTE(Table2427245[[#This Row],[Total Work Hours]])/60)</f>
        <v>0.19047619047619047</v>
      </c>
      <c r="AA18" s="18">
        <f>Table2427245[[#This Row],[Total travel time in hr]]/24</f>
        <v>8.3333333333333329E-2</v>
      </c>
      <c r="AB18" s="19">
        <f>Table2427245[[#This Row],[Total travel time in hr]]*22</f>
        <v>44</v>
      </c>
      <c r="AC18" s="19">
        <f>Table2427245[[#This Row],[Total travel time (hr) in a month (22 days)]]/24</f>
        <v>1.8333333333333333</v>
      </c>
      <c r="AD18" s="47">
        <f>Table2427245[[#This Row],[Travel cost]]+Table2427245[[#This Row],[Travel cost ]]</f>
        <v>27</v>
      </c>
      <c r="AE18" s="47">
        <f>Table2427245[[#This Row],[Total Cost]]*22</f>
        <v>594</v>
      </c>
      <c r="AF18" s="19">
        <f>24-Table2427245[[#This Row],[Total Work Hours in Decimals]]-Table2427245[[#This Row],[Total travel time (hr) in a month (22 days)]]/22</f>
        <v>13.5</v>
      </c>
      <c r="AG18" s="13"/>
    </row>
    <row r="19" spans="1:33" x14ac:dyDescent="0.25">
      <c r="A19" t="s">
        <v>80</v>
      </c>
      <c r="B19" t="s">
        <v>49</v>
      </c>
      <c r="C19" t="s">
        <v>50</v>
      </c>
      <c r="D19" t="s">
        <v>25</v>
      </c>
      <c r="E19" t="s">
        <v>29</v>
      </c>
      <c r="F19" t="s">
        <v>73</v>
      </c>
      <c r="G19"/>
      <c r="H19" t="s">
        <v>54</v>
      </c>
      <c r="I19"/>
      <c r="J19" s="21">
        <v>0.58333333333333337</v>
      </c>
      <c r="K19" s="14">
        <v>0.5</v>
      </c>
      <c r="L19" s="14">
        <v>0.57291666666666663</v>
      </c>
      <c r="M19"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7.291666666666663E-2</v>
      </c>
      <c r="N19" s="34">
        <f>Table2427245[[#This Row],[Travel Time from Home to Work]]*24</f>
        <v>1.7499999999999991</v>
      </c>
      <c r="O19">
        <v>80</v>
      </c>
      <c r="P19" s="21">
        <v>0</v>
      </c>
      <c r="Q19" s="44">
        <v>0</v>
      </c>
      <c r="R19" s="44">
        <v>2.0833333333333332E-2</v>
      </c>
      <c r="S19" s="41">
        <f>IF(Table2427245[[#This Row],[End of Work (time)]]&lt;Table2427245[[#This Row],[Start of Work (time)]],Table2427245[[#This Row],[End of Work (time)]]+24-Table2427245[[#This Row],[Start of Work (time)]],Table2427245[[#This Row],[End of Work (time)]]-Table2427245[[#This Row],[Start of Work (time)]])</f>
        <v>23.416666666666668</v>
      </c>
      <c r="T19" s="79">
        <f>HOUR(Table2427245[[#This Row],[Total Work Hours]])+MINUTE(Table2427245[[#This Row],[Total Work Hours]])/60</f>
        <v>10</v>
      </c>
      <c r="U19"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2.0833333333333332E-2</v>
      </c>
      <c r="V19" s="78">
        <f>Table2427245[[#This Row],[Travel Time from Work to Home]]*24</f>
        <v>0.5</v>
      </c>
      <c r="W19">
        <v>0</v>
      </c>
      <c r="X19" s="15">
        <f>Table2427245[[#This Row],[Travel Time from Work to Home]]+Table2427245[[#This Row],[Travel Time from Home to Work]]</f>
        <v>9.3749999999999958E-2</v>
      </c>
      <c r="Y19" s="16">
        <f>HOUR(Table2427245[[#This Row],[Total Travel Time]])+MINUTE(Table2427245[[#This Row],[Total Travel Time]])/60</f>
        <v>2.25</v>
      </c>
      <c r="Z19" s="17">
        <f>Table2427245[[#This Row],[Total travel time in hr]]/(Table2427245[[#This Row],[Total travel time in hr]]+HOUR(Table2427245[[#This Row],[Total Work Hours]])+MINUTE(Table2427245[[#This Row],[Total Work Hours]])/60)</f>
        <v>0.18367346938775511</v>
      </c>
      <c r="AA19" s="18">
        <f>Table2427245[[#This Row],[Total travel time in hr]]/24</f>
        <v>9.375E-2</v>
      </c>
      <c r="AB19" s="19">
        <f>Table2427245[[#This Row],[Total travel time in hr]]*22</f>
        <v>49.5</v>
      </c>
      <c r="AC19" s="19">
        <f>Table2427245[[#This Row],[Total travel time (hr) in a month (22 days)]]/24</f>
        <v>2.0625</v>
      </c>
      <c r="AD19" s="47">
        <f>Table2427245[[#This Row],[Travel cost]]+Table2427245[[#This Row],[Travel cost ]]</f>
        <v>80</v>
      </c>
      <c r="AE19" s="47">
        <f>Table2427245[[#This Row],[Total Cost]]*22</f>
        <v>1760</v>
      </c>
      <c r="AF19" s="19">
        <f>24-Table2427245[[#This Row],[Total Work Hours in Decimals]]-Table2427245[[#This Row],[Total travel time (hr) in a month (22 days)]]/22</f>
        <v>11.75</v>
      </c>
      <c r="AG19" s="13"/>
    </row>
    <row r="20" spans="1:33" x14ac:dyDescent="0.25">
      <c r="A20" s="27" t="s">
        <v>78</v>
      </c>
      <c r="B20" s="13" t="s">
        <v>49</v>
      </c>
      <c r="C20" s="13" t="s">
        <v>50</v>
      </c>
      <c r="D20" s="13" t="s">
        <v>25</v>
      </c>
      <c r="E20" s="13" t="s">
        <v>29</v>
      </c>
      <c r="F20" s="13" t="s">
        <v>51</v>
      </c>
      <c r="H20" s="13" t="s">
        <v>52</v>
      </c>
      <c r="J20" s="14">
        <v>0.875</v>
      </c>
      <c r="K20" s="14">
        <v>0.875</v>
      </c>
      <c r="L20" s="14">
        <v>0.91666666666666663</v>
      </c>
      <c r="M20" s="2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4.166666666666663E-2</v>
      </c>
      <c r="N20" s="78">
        <f>Table2427245[[#This Row],[Travel Time from Home to Work]]*24</f>
        <v>0.99999999999999911</v>
      </c>
      <c r="O20" s="13">
        <v>50</v>
      </c>
      <c r="P20" s="14">
        <v>0.25</v>
      </c>
      <c r="Q20" s="44">
        <v>0.25</v>
      </c>
      <c r="R20" s="44">
        <v>0.30555555555555552</v>
      </c>
      <c r="S20" s="40">
        <f>IF(Table2427245[[#This Row],[End of Work (time)]]&lt;Table2427245[[#This Row],[Start of Work (time)]],Table2427245[[#This Row],[End of Work (time)]]+24-Table2427245[[#This Row],[Start of Work (time)]],Table2427245[[#This Row],[End of Work (time)]]-Table2427245[[#This Row],[Start of Work (time)]])</f>
        <v>23.375</v>
      </c>
      <c r="T20" s="80">
        <f>HOUR(Table2427245[[#This Row],[Total Work Hours]])+MINUTE(Table2427245[[#This Row],[Total Work Hours]])/60</f>
        <v>9</v>
      </c>
      <c r="U20"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5.5555555555555525E-2</v>
      </c>
      <c r="V20" s="78">
        <f>Table2427245[[#This Row],[Travel Time from Work to Home]]*24</f>
        <v>1.3333333333333326</v>
      </c>
      <c r="W20">
        <v>50</v>
      </c>
      <c r="X20" s="15">
        <f>Table2427245[[#This Row],[Travel Time from Work to Home]]+Table2427245[[#This Row],[Travel Time from Home to Work]]</f>
        <v>9.7222222222222154E-2</v>
      </c>
      <c r="Y20" s="16">
        <f>HOUR(Table2427245[[#This Row],[Total Travel Time]])+MINUTE(Table2427245[[#This Row],[Total Travel Time]])/60</f>
        <v>2.3333333333333335</v>
      </c>
      <c r="Z20" s="17">
        <f>Table2427245[[#This Row],[Total travel time in hr]]/(Table2427245[[#This Row],[Total travel time in hr]]+HOUR(Table2427245[[#This Row],[Total Work Hours]])+MINUTE(Table2427245[[#This Row],[Total Work Hours]])/60)</f>
        <v>0.20588235294117646</v>
      </c>
      <c r="AA20" s="18">
        <f>Table2427245[[#This Row],[Total travel time in hr]]/24</f>
        <v>9.7222222222222224E-2</v>
      </c>
      <c r="AB20" s="19">
        <f>Table2427245[[#This Row],[Total travel time in hr]]*22</f>
        <v>51.333333333333336</v>
      </c>
      <c r="AC20" s="19">
        <f>Table2427245[[#This Row],[Total travel time (hr) in a month (22 days)]]/24</f>
        <v>2.1388888888888888</v>
      </c>
      <c r="AD20" s="47">
        <f>Table2427245[[#This Row],[Travel cost]]+Table2427245[[#This Row],[Travel cost ]]</f>
        <v>100</v>
      </c>
      <c r="AE20" s="47">
        <f>Table2427245[[#This Row],[Total Cost]]*22</f>
        <v>2200</v>
      </c>
      <c r="AF20" s="19">
        <f>24-Table2427245[[#This Row],[Total Work Hours in Decimals]]-Table2427245[[#This Row],[Total travel time (hr) in a month (22 days)]]/22</f>
        <v>12.666666666666666</v>
      </c>
      <c r="AG20" s="13"/>
    </row>
    <row r="21" spans="1:33" x14ac:dyDescent="0.25">
      <c r="A21" t="s">
        <v>83</v>
      </c>
      <c r="B21" t="s">
        <v>49</v>
      </c>
      <c r="C21" t="s">
        <v>53</v>
      </c>
      <c r="D21" t="s">
        <v>25</v>
      </c>
      <c r="E21" t="s">
        <v>29</v>
      </c>
      <c r="F21" t="s">
        <v>59</v>
      </c>
      <c r="G21"/>
      <c r="H21" t="s">
        <v>54</v>
      </c>
      <c r="I21"/>
      <c r="J21" s="21">
        <v>0.625</v>
      </c>
      <c r="K21" s="14">
        <v>0.5625</v>
      </c>
      <c r="L21" s="14">
        <v>0.61458333333333337</v>
      </c>
      <c r="M21"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5.208333333333337E-2</v>
      </c>
      <c r="N21" s="34">
        <f>Table2427245[[#This Row],[Travel Time from Home to Work]]*24</f>
        <v>1.2500000000000009</v>
      </c>
      <c r="O21">
        <v>200</v>
      </c>
      <c r="P21" s="21">
        <v>2.0833333333333332E-2</v>
      </c>
      <c r="Q21" s="44">
        <v>2.0833333333333332E-2</v>
      </c>
      <c r="R21" s="44">
        <v>6.8749999999999992E-2</v>
      </c>
      <c r="S21" s="41">
        <f>IF(Table2427245[[#This Row],[End of Work (time)]]&lt;Table2427245[[#This Row],[Start of Work (time)]],Table2427245[[#This Row],[End of Work (time)]]+24-Table2427245[[#This Row],[Start of Work (time)]],Table2427245[[#This Row],[End of Work (time)]]-Table2427245[[#This Row],[Start of Work (time)]])</f>
        <v>23.395833333333332</v>
      </c>
      <c r="T21" s="79">
        <f>HOUR(Table2427245[[#This Row],[Total Work Hours]])+MINUTE(Table2427245[[#This Row],[Total Work Hours]])/60</f>
        <v>9.5</v>
      </c>
      <c r="U21"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4.7916666666666663E-2</v>
      </c>
      <c r="V21" s="78">
        <f>Table2427245[[#This Row],[Travel Time from Work to Home]]*24</f>
        <v>1.1499999999999999</v>
      </c>
      <c r="W21">
        <v>0</v>
      </c>
      <c r="X21" s="15">
        <f>Table2427245[[#This Row],[Travel Time from Work to Home]]+Table2427245[[#This Row],[Travel Time from Home to Work]]</f>
        <v>0.10000000000000003</v>
      </c>
      <c r="Y21" s="16">
        <f>HOUR(Table2427245[[#This Row],[Total Travel Time]])+MINUTE(Table2427245[[#This Row],[Total Travel Time]])/60</f>
        <v>2.4</v>
      </c>
      <c r="Z21" s="17">
        <f>Table2427245[[#This Row],[Total travel time in hr]]/(Table2427245[[#This Row],[Total travel time in hr]]+HOUR(Table2427245[[#This Row],[Total Work Hours]])+MINUTE(Table2427245[[#This Row],[Total Work Hours]])/60)</f>
        <v>0.20168067226890754</v>
      </c>
      <c r="AA21" s="18">
        <f>Table2427245[[#This Row],[Total travel time in hr]]/24</f>
        <v>9.9999999999999992E-2</v>
      </c>
      <c r="AB21" s="19">
        <f>Table2427245[[#This Row],[Total travel time in hr]]*22</f>
        <v>52.8</v>
      </c>
      <c r="AC21" s="19">
        <f>Table2427245[[#This Row],[Total travel time (hr) in a month (22 days)]]/24</f>
        <v>2.1999999999999997</v>
      </c>
      <c r="AD21" s="47">
        <f>Table2427245[[#This Row],[Travel cost]]+Table2427245[[#This Row],[Travel cost ]]</f>
        <v>200</v>
      </c>
      <c r="AE21" s="47">
        <f>Table2427245[[#This Row],[Total Cost]]*22</f>
        <v>4400</v>
      </c>
      <c r="AF21" s="19">
        <f>24-Table2427245[[#This Row],[Total Work Hours in Decimals]]-Table2427245[[#This Row],[Total travel time (hr) in a month (22 days)]]/22</f>
        <v>12.1</v>
      </c>
      <c r="AG21" s="13"/>
    </row>
    <row r="22" spans="1:33" x14ac:dyDescent="0.25">
      <c r="A22" t="s">
        <v>111</v>
      </c>
      <c r="B22" t="s">
        <v>49</v>
      </c>
      <c r="C22" t="s">
        <v>50</v>
      </c>
      <c r="D22" t="s">
        <v>25</v>
      </c>
      <c r="E22" t="s">
        <v>29</v>
      </c>
      <c r="F22" t="s">
        <v>59</v>
      </c>
      <c r="G22"/>
      <c r="H22" t="s">
        <v>54</v>
      </c>
      <c r="I22"/>
      <c r="J22" s="21">
        <v>0.58333333333333337</v>
      </c>
      <c r="K22" s="14">
        <v>0.52083333333333337</v>
      </c>
      <c r="L22" s="14">
        <v>0.60416666666666663</v>
      </c>
      <c r="M22"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8.3333333333333259E-2</v>
      </c>
      <c r="N22" s="34">
        <f>Table2427245[[#This Row],[Travel Time from Home to Work]]*24</f>
        <v>1.9999999999999982</v>
      </c>
      <c r="O22">
        <v>100</v>
      </c>
      <c r="P22" s="21">
        <v>2.0833333333333332E-2</v>
      </c>
      <c r="Q22" s="44">
        <v>2.0833333333333332E-2</v>
      </c>
      <c r="R22" s="44">
        <v>4.1666666666666664E-2</v>
      </c>
      <c r="S22" s="41">
        <f>IF(Table2427245[[#This Row],[End of Work (time)]]&lt;Table2427245[[#This Row],[Start of Work (time)]],Table2427245[[#This Row],[End of Work (time)]]+24-Table2427245[[#This Row],[Start of Work (time)]],Table2427245[[#This Row],[End of Work (time)]]-Table2427245[[#This Row],[Start of Work (time)]])</f>
        <v>23.4375</v>
      </c>
      <c r="T22" s="79">
        <f>HOUR(Table2427245[[#This Row],[Total Work Hours]])+MINUTE(Table2427245[[#This Row],[Total Work Hours]])/60</f>
        <v>10.5</v>
      </c>
      <c r="U22"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2.0833333333333332E-2</v>
      </c>
      <c r="V22" s="78">
        <f>Table2427245[[#This Row],[Travel Time from Work to Home]]*24</f>
        <v>0.5</v>
      </c>
      <c r="W22">
        <v>0</v>
      </c>
      <c r="X22" s="15">
        <f>Table2427245[[#This Row],[Travel Time from Work to Home]]+Table2427245[[#This Row],[Travel Time from Home to Work]]</f>
        <v>0.10416666666666659</v>
      </c>
      <c r="Y22" s="16">
        <f>HOUR(Table2427245[[#This Row],[Total Travel Time]])+MINUTE(Table2427245[[#This Row],[Total Travel Time]])/60</f>
        <v>2.5</v>
      </c>
      <c r="Z22" s="17">
        <f>Table2427245[[#This Row],[Total travel time in hr]]/(Table2427245[[#This Row],[Total travel time in hr]]+HOUR(Table2427245[[#This Row],[Total Work Hours]])+MINUTE(Table2427245[[#This Row],[Total Work Hours]])/60)</f>
        <v>0.19230769230769232</v>
      </c>
      <c r="AA22" s="18">
        <f>Table2427245[[#This Row],[Total travel time in hr]]/24</f>
        <v>0.10416666666666667</v>
      </c>
      <c r="AB22" s="19">
        <f>Table2427245[[#This Row],[Total travel time in hr]]*22</f>
        <v>55</v>
      </c>
      <c r="AC22" s="19">
        <f>Table2427245[[#This Row],[Total travel time (hr) in a month (22 days)]]/24</f>
        <v>2.2916666666666665</v>
      </c>
      <c r="AD22" s="47">
        <f>Table2427245[[#This Row],[Travel cost]]+Table2427245[[#This Row],[Travel cost ]]</f>
        <v>100</v>
      </c>
      <c r="AE22" s="47">
        <f>Table2427245[[#This Row],[Total Cost]]*22</f>
        <v>2200</v>
      </c>
      <c r="AF22" s="19">
        <f>24-Table2427245[[#This Row],[Total Work Hours in Decimals]]-Table2427245[[#This Row],[Total travel time (hr) in a month (22 days)]]/22</f>
        <v>11</v>
      </c>
      <c r="AG22" s="13"/>
    </row>
    <row r="23" spans="1:33" x14ac:dyDescent="0.25">
      <c r="A23" t="s">
        <v>85</v>
      </c>
      <c r="B23" t="s">
        <v>49</v>
      </c>
      <c r="C23" t="s">
        <v>50</v>
      </c>
      <c r="D23" t="s">
        <v>25</v>
      </c>
      <c r="E23" t="s">
        <v>29</v>
      </c>
      <c r="F23" t="s">
        <v>60</v>
      </c>
      <c r="G23"/>
      <c r="H23" t="s">
        <v>52</v>
      </c>
      <c r="I23"/>
      <c r="J23" s="21">
        <v>0.41666666666666669</v>
      </c>
      <c r="K23" s="14">
        <v>0.375</v>
      </c>
      <c r="L23" s="14">
        <v>0.39583333333333331</v>
      </c>
      <c r="M23"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2.0833333333333315E-2</v>
      </c>
      <c r="N23" s="34">
        <f>Table2427245[[#This Row],[Travel Time from Home to Work]]*24</f>
        <v>0.49999999999999956</v>
      </c>
      <c r="O23">
        <v>13</v>
      </c>
      <c r="P23" s="21">
        <v>0.75</v>
      </c>
      <c r="Q23" s="44">
        <v>0.75</v>
      </c>
      <c r="R23" s="44">
        <v>0.83333333333333337</v>
      </c>
      <c r="S23" s="41">
        <f>IF(Table2427245[[#This Row],[End of Work (time)]]&lt;Table2427245[[#This Row],[Start of Work (time)]],Table2427245[[#This Row],[End of Work (time)]]+24-Table2427245[[#This Row],[Start of Work (time)]],Table2427245[[#This Row],[End of Work (time)]]-Table2427245[[#This Row],[Start of Work (time)]])</f>
        <v>0.33333333333333331</v>
      </c>
      <c r="T23" s="79">
        <f>HOUR(Table2427245[[#This Row],[Total Work Hours]])+MINUTE(Table2427245[[#This Row],[Total Work Hours]])/60</f>
        <v>8</v>
      </c>
      <c r="U23"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8.333333333333337E-2</v>
      </c>
      <c r="V23" s="78">
        <f>Table2427245[[#This Row],[Travel Time from Work to Home]]*24</f>
        <v>2.0000000000000009</v>
      </c>
      <c r="W23">
        <v>13</v>
      </c>
      <c r="X23" s="15">
        <f>Table2427245[[#This Row],[Travel Time from Work to Home]]+Table2427245[[#This Row],[Travel Time from Home to Work]]</f>
        <v>0.10416666666666669</v>
      </c>
      <c r="Y23" s="16">
        <f>HOUR(Table2427245[[#This Row],[Total Travel Time]])+MINUTE(Table2427245[[#This Row],[Total Travel Time]])/60</f>
        <v>2.5</v>
      </c>
      <c r="Z23" s="17">
        <f>Table2427245[[#This Row],[Total travel time in hr]]/(Table2427245[[#This Row],[Total travel time in hr]]+HOUR(Table2427245[[#This Row],[Total Work Hours]])+MINUTE(Table2427245[[#This Row],[Total Work Hours]])/60)</f>
        <v>0.23809523809523808</v>
      </c>
      <c r="AA23" s="18">
        <f>Table2427245[[#This Row],[Total travel time in hr]]/24</f>
        <v>0.10416666666666667</v>
      </c>
      <c r="AB23" s="19">
        <f>Table2427245[[#This Row],[Total travel time in hr]]*22</f>
        <v>55</v>
      </c>
      <c r="AC23" s="19">
        <f>Table2427245[[#This Row],[Total travel time (hr) in a month (22 days)]]/24</f>
        <v>2.2916666666666665</v>
      </c>
      <c r="AD23" s="47">
        <f>Table2427245[[#This Row],[Travel cost]]+Table2427245[[#This Row],[Travel cost ]]</f>
        <v>26</v>
      </c>
      <c r="AE23" s="47">
        <f>Table2427245[[#This Row],[Total Cost]]*22</f>
        <v>572</v>
      </c>
      <c r="AF23" s="19">
        <f>24-Table2427245[[#This Row],[Total Work Hours in Decimals]]-Table2427245[[#This Row],[Total travel time (hr) in a month (22 days)]]/22</f>
        <v>13.5</v>
      </c>
      <c r="AG23" s="13"/>
    </row>
    <row r="24" spans="1:33" x14ac:dyDescent="0.25">
      <c r="A24" t="s">
        <v>99</v>
      </c>
      <c r="B24" t="s">
        <v>49</v>
      </c>
      <c r="C24" t="s">
        <v>53</v>
      </c>
      <c r="D24" t="s">
        <v>25</v>
      </c>
      <c r="E24" t="s">
        <v>29</v>
      </c>
      <c r="F24" t="s">
        <v>59</v>
      </c>
      <c r="G24"/>
      <c r="H24" t="s">
        <v>62</v>
      </c>
      <c r="I24"/>
      <c r="J24" s="21">
        <v>0.58333333333333337</v>
      </c>
      <c r="K24" s="14">
        <v>0.5</v>
      </c>
      <c r="L24" s="14">
        <v>0.58333333333333337</v>
      </c>
      <c r="M24"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8.333333333333337E-2</v>
      </c>
      <c r="N24" s="34">
        <f>Table2427245[[#This Row],[Travel Time from Home to Work]]*24</f>
        <v>2.0000000000000009</v>
      </c>
      <c r="O24">
        <v>55</v>
      </c>
      <c r="P24" s="21">
        <v>2.0833333333333332E-2</v>
      </c>
      <c r="Q24" s="44">
        <v>4.1666666666666664E-2</v>
      </c>
      <c r="R24" s="44">
        <v>6.25E-2</v>
      </c>
      <c r="S24" s="41">
        <f>IF(Table2427245[[#This Row],[End of Work (time)]]&lt;Table2427245[[#This Row],[Start of Work (time)]],Table2427245[[#This Row],[End of Work (time)]]+24-Table2427245[[#This Row],[Start of Work (time)]],Table2427245[[#This Row],[End of Work (time)]]-Table2427245[[#This Row],[Start of Work (time)]])</f>
        <v>23.4375</v>
      </c>
      <c r="T24" s="79">
        <f>HOUR(Table2427245[[#This Row],[Total Work Hours]])+MINUTE(Table2427245[[#This Row],[Total Work Hours]])/60</f>
        <v>10.5</v>
      </c>
      <c r="U24"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2.0833333333333336E-2</v>
      </c>
      <c r="V24" s="78">
        <f>Table2427245[[#This Row],[Travel Time from Work to Home]]*24</f>
        <v>0.5</v>
      </c>
      <c r="W24">
        <v>0</v>
      </c>
      <c r="X24" s="15">
        <f>Table2427245[[#This Row],[Travel Time from Work to Home]]+Table2427245[[#This Row],[Travel Time from Home to Work]]</f>
        <v>0.10416666666666671</v>
      </c>
      <c r="Y24" s="16">
        <f>HOUR(Table2427245[[#This Row],[Total Travel Time]])+MINUTE(Table2427245[[#This Row],[Total Travel Time]])/60</f>
        <v>2.5</v>
      </c>
      <c r="Z24" s="17">
        <f>Table2427245[[#This Row],[Total travel time in hr]]/(Table2427245[[#This Row],[Total travel time in hr]]+HOUR(Table2427245[[#This Row],[Total Work Hours]])+MINUTE(Table2427245[[#This Row],[Total Work Hours]])/60)</f>
        <v>0.19230769230769232</v>
      </c>
      <c r="AA24" s="18">
        <f>Table2427245[[#This Row],[Total travel time in hr]]/24</f>
        <v>0.10416666666666667</v>
      </c>
      <c r="AB24" s="19">
        <f>Table2427245[[#This Row],[Total travel time in hr]]*22</f>
        <v>55</v>
      </c>
      <c r="AC24" s="19">
        <f>Table2427245[[#This Row],[Total travel time (hr) in a month (22 days)]]/24</f>
        <v>2.2916666666666665</v>
      </c>
      <c r="AD24" s="47">
        <f>Table2427245[[#This Row],[Travel cost]]+Table2427245[[#This Row],[Travel cost ]]</f>
        <v>55</v>
      </c>
      <c r="AE24" s="47">
        <f>Table2427245[[#This Row],[Total Cost]]*22</f>
        <v>1210</v>
      </c>
      <c r="AF24" s="19">
        <f>24-Table2427245[[#This Row],[Total Work Hours in Decimals]]-Table2427245[[#This Row],[Total travel time (hr) in a month (22 days)]]/22</f>
        <v>11</v>
      </c>
      <c r="AG24" s="13"/>
    </row>
    <row r="25" spans="1:33" x14ac:dyDescent="0.25">
      <c r="A25" t="s">
        <v>112</v>
      </c>
      <c r="B25" t="s">
        <v>69</v>
      </c>
      <c r="C25" t="s">
        <v>50</v>
      </c>
      <c r="D25" t="s">
        <v>26</v>
      </c>
      <c r="E25" t="s">
        <v>29</v>
      </c>
      <c r="F25" t="s">
        <v>70</v>
      </c>
      <c r="G25"/>
      <c r="H25" t="s">
        <v>61</v>
      </c>
      <c r="I25"/>
      <c r="J25" s="21">
        <v>0.58333333333333337</v>
      </c>
      <c r="K25" s="14">
        <v>0.5</v>
      </c>
      <c r="L25" s="14">
        <v>0.5625</v>
      </c>
      <c r="M25"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6.25E-2</v>
      </c>
      <c r="N25" s="34">
        <f>Table2427245[[#This Row],[Travel Time from Home to Work]]*24</f>
        <v>1.5</v>
      </c>
      <c r="O25">
        <v>50</v>
      </c>
      <c r="P25" s="21">
        <v>0.92361111111111116</v>
      </c>
      <c r="Q25" s="44">
        <v>0.92708333333333337</v>
      </c>
      <c r="R25" s="44">
        <v>0.97916666666666663</v>
      </c>
      <c r="S25" s="41">
        <f>IF(Table2427245[[#This Row],[End of Work (time)]]&lt;Table2427245[[#This Row],[Start of Work (time)]],Table2427245[[#This Row],[End of Work (time)]]+24-Table2427245[[#This Row],[Start of Work (time)]],Table2427245[[#This Row],[End of Work (time)]]-Table2427245[[#This Row],[Start of Work (time)]])</f>
        <v>0.34027777777777779</v>
      </c>
      <c r="T25" s="79">
        <f>HOUR(Table2427245[[#This Row],[Total Work Hours]])+MINUTE(Table2427245[[#This Row],[Total Work Hours]])/60</f>
        <v>8.1666666666666661</v>
      </c>
      <c r="U25"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5.2083333333333259E-2</v>
      </c>
      <c r="V25" s="78">
        <f>Table2427245[[#This Row],[Travel Time from Work to Home]]*24</f>
        <v>1.2499999999999982</v>
      </c>
      <c r="W25">
        <v>0</v>
      </c>
      <c r="X25" s="15">
        <f>Table2427245[[#This Row],[Travel Time from Work to Home]]+Table2427245[[#This Row],[Travel Time from Home to Work]]</f>
        <v>0.11458333333333326</v>
      </c>
      <c r="Y25" s="16">
        <f>HOUR(Table2427245[[#This Row],[Total Travel Time]])+MINUTE(Table2427245[[#This Row],[Total Travel Time]])/60</f>
        <v>2.75</v>
      </c>
      <c r="Z25" s="17">
        <f>Table2427245[[#This Row],[Total travel time in hr]]/(Table2427245[[#This Row],[Total travel time in hr]]+HOUR(Table2427245[[#This Row],[Total Work Hours]])+MINUTE(Table2427245[[#This Row],[Total Work Hours]])/60)</f>
        <v>0.25190839694656492</v>
      </c>
      <c r="AA25" s="18">
        <f>Table2427245[[#This Row],[Total travel time in hr]]/24</f>
        <v>0.11458333333333333</v>
      </c>
      <c r="AB25" s="19">
        <f>Table2427245[[#This Row],[Total travel time in hr]]*22</f>
        <v>60.5</v>
      </c>
      <c r="AC25" s="19">
        <f>Table2427245[[#This Row],[Total travel time (hr) in a month (22 days)]]/24</f>
        <v>2.5208333333333335</v>
      </c>
      <c r="AD25" s="47">
        <f>Table2427245[[#This Row],[Travel cost]]+Table2427245[[#This Row],[Travel cost ]]</f>
        <v>50</v>
      </c>
      <c r="AE25" s="47">
        <f>Table2427245[[#This Row],[Total Cost]]*22</f>
        <v>1100</v>
      </c>
      <c r="AF25" s="19">
        <f>24-Table2427245[[#This Row],[Total Work Hours in Decimals]]-Table2427245[[#This Row],[Total travel time (hr) in a month (22 days)]]/22</f>
        <v>13.083333333333334</v>
      </c>
      <c r="AG25" s="13"/>
    </row>
    <row r="26" spans="1:33" x14ac:dyDescent="0.25">
      <c r="A26" t="s">
        <v>92</v>
      </c>
      <c r="B26" t="s">
        <v>49</v>
      </c>
      <c r="C26" t="s">
        <v>50</v>
      </c>
      <c r="D26" t="s">
        <v>25</v>
      </c>
      <c r="E26" t="s">
        <v>29</v>
      </c>
      <c r="F26" t="s">
        <v>52</v>
      </c>
      <c r="G26"/>
      <c r="H26" t="s">
        <v>54</v>
      </c>
      <c r="I26"/>
      <c r="J26" s="21">
        <v>0.375</v>
      </c>
      <c r="K26" s="14">
        <v>0.3125</v>
      </c>
      <c r="L26" s="14">
        <v>0.36458333333333331</v>
      </c>
      <c r="M26"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5.2083333333333315E-2</v>
      </c>
      <c r="N26" s="34">
        <f>Table2427245[[#This Row],[Travel Time from Home to Work]]*24</f>
        <v>1.2499999999999996</v>
      </c>
      <c r="O26">
        <v>18</v>
      </c>
      <c r="P26" s="21">
        <v>0.79166666666666663</v>
      </c>
      <c r="Q26" s="44">
        <v>0.79166666666666663</v>
      </c>
      <c r="R26" s="44">
        <v>0.85416666666666663</v>
      </c>
      <c r="S26" s="41">
        <f>IF(Table2427245[[#This Row],[End of Work (time)]]&lt;Table2427245[[#This Row],[Start of Work (time)]],Table2427245[[#This Row],[End of Work (time)]]+24-Table2427245[[#This Row],[Start of Work (time)]],Table2427245[[#This Row],[End of Work (time)]]-Table2427245[[#This Row],[Start of Work (time)]])</f>
        <v>0.41666666666666663</v>
      </c>
      <c r="T26" s="79">
        <f>HOUR(Table2427245[[#This Row],[Total Work Hours]])+MINUTE(Table2427245[[#This Row],[Total Work Hours]])/60</f>
        <v>10</v>
      </c>
      <c r="U26"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6.25E-2</v>
      </c>
      <c r="V26" s="78">
        <f>Table2427245[[#This Row],[Travel Time from Work to Home]]*24</f>
        <v>1.5</v>
      </c>
      <c r="W26">
        <v>18</v>
      </c>
      <c r="X26" s="15">
        <f>Table2427245[[#This Row],[Travel Time from Work to Home]]+Table2427245[[#This Row],[Travel Time from Home to Work]]</f>
        <v>0.11458333333333331</v>
      </c>
      <c r="Y26" s="16">
        <f>HOUR(Table2427245[[#This Row],[Total Travel Time]])+MINUTE(Table2427245[[#This Row],[Total Travel Time]])/60</f>
        <v>2.75</v>
      </c>
      <c r="Z26" s="17">
        <f>Table2427245[[#This Row],[Total travel time in hr]]/(Table2427245[[#This Row],[Total travel time in hr]]+HOUR(Table2427245[[#This Row],[Total Work Hours]])+MINUTE(Table2427245[[#This Row],[Total Work Hours]])/60)</f>
        <v>0.21568627450980393</v>
      </c>
      <c r="AA26" s="18">
        <f>Table2427245[[#This Row],[Total travel time in hr]]/24</f>
        <v>0.11458333333333333</v>
      </c>
      <c r="AB26" s="19">
        <f>Table2427245[[#This Row],[Total travel time in hr]]*22</f>
        <v>60.5</v>
      </c>
      <c r="AC26" s="19">
        <f>Table2427245[[#This Row],[Total travel time (hr) in a month (22 days)]]/24</f>
        <v>2.5208333333333335</v>
      </c>
      <c r="AD26" s="47">
        <f>Table2427245[[#This Row],[Travel cost]]+Table2427245[[#This Row],[Travel cost ]]</f>
        <v>36</v>
      </c>
      <c r="AE26" s="47">
        <f>Table2427245[[#This Row],[Total Cost]]*22</f>
        <v>792</v>
      </c>
      <c r="AF26" s="19">
        <f>24-Table2427245[[#This Row],[Total Work Hours in Decimals]]-Table2427245[[#This Row],[Total travel time (hr) in a month (22 days)]]/22</f>
        <v>11.25</v>
      </c>
      <c r="AG26" s="13"/>
    </row>
    <row r="27" spans="1:33" x14ac:dyDescent="0.25">
      <c r="A27" t="s">
        <v>100</v>
      </c>
      <c r="B27" t="s">
        <v>49</v>
      </c>
      <c r="C27" t="s">
        <v>50</v>
      </c>
      <c r="D27" t="s">
        <v>25</v>
      </c>
      <c r="E27" t="s">
        <v>27</v>
      </c>
      <c r="F27" t="s">
        <v>55</v>
      </c>
      <c r="G27" t="s">
        <v>58</v>
      </c>
      <c r="H27" t="s">
        <v>61</v>
      </c>
      <c r="I27"/>
      <c r="J27" s="21">
        <v>0.33333333333333331</v>
      </c>
      <c r="K27" s="14">
        <v>0.29166666666666669</v>
      </c>
      <c r="L27" s="14">
        <v>0.33333333333333331</v>
      </c>
      <c r="M27"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4.166666666666663E-2</v>
      </c>
      <c r="N27" s="34">
        <f>Table2427245[[#This Row],[Travel Time from Home to Work]]*24</f>
        <v>0.99999999999999911</v>
      </c>
      <c r="O27">
        <v>100</v>
      </c>
      <c r="P27" s="21">
        <v>0.70833333333333337</v>
      </c>
      <c r="Q27" s="44">
        <v>0.70833333333333337</v>
      </c>
      <c r="R27" s="44">
        <v>0.79166666666666663</v>
      </c>
      <c r="S27" s="41">
        <f>IF(Table2427245[[#This Row],[End of Work (time)]]&lt;Table2427245[[#This Row],[Start of Work (time)]],Table2427245[[#This Row],[End of Work (time)]]+24-Table2427245[[#This Row],[Start of Work (time)]],Table2427245[[#This Row],[End of Work (time)]]-Table2427245[[#This Row],[Start of Work (time)]])</f>
        <v>0.37500000000000006</v>
      </c>
      <c r="T27" s="79">
        <f>HOUR(Table2427245[[#This Row],[Total Work Hours]])+MINUTE(Table2427245[[#This Row],[Total Work Hours]])/60</f>
        <v>9</v>
      </c>
      <c r="U27"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8.3333333333333259E-2</v>
      </c>
      <c r="V27" s="78">
        <f>Table2427245[[#This Row],[Travel Time from Work to Home]]*24</f>
        <v>1.9999999999999982</v>
      </c>
      <c r="W27">
        <v>100</v>
      </c>
      <c r="X27" s="15">
        <f>Table2427245[[#This Row],[Travel Time from Work to Home]]+Table2427245[[#This Row],[Travel Time from Home to Work]]</f>
        <v>0.12499999999999989</v>
      </c>
      <c r="Y27" s="16">
        <f>HOUR(Table2427245[[#This Row],[Total Travel Time]])+MINUTE(Table2427245[[#This Row],[Total Travel Time]])/60</f>
        <v>3</v>
      </c>
      <c r="Z27" s="17">
        <f>Table2427245[[#This Row],[Total travel time in hr]]/(Table2427245[[#This Row],[Total travel time in hr]]+HOUR(Table2427245[[#This Row],[Total Work Hours]])+MINUTE(Table2427245[[#This Row],[Total Work Hours]])/60)</f>
        <v>0.25</v>
      </c>
      <c r="AA27" s="18">
        <f>Table2427245[[#This Row],[Total travel time in hr]]/24</f>
        <v>0.125</v>
      </c>
      <c r="AB27" s="19">
        <f>Table2427245[[#This Row],[Total travel time in hr]]*22</f>
        <v>66</v>
      </c>
      <c r="AC27" s="19">
        <f>Table2427245[[#This Row],[Total travel time (hr) in a month (22 days)]]/24</f>
        <v>2.75</v>
      </c>
      <c r="AD27" s="47">
        <f>Table2427245[[#This Row],[Travel cost]]+Table2427245[[#This Row],[Travel cost ]]</f>
        <v>200</v>
      </c>
      <c r="AE27" s="47">
        <f>Table2427245[[#This Row],[Total Cost]]*22</f>
        <v>4400</v>
      </c>
      <c r="AF27" s="19">
        <f>24-Table2427245[[#This Row],[Total Work Hours in Decimals]]-Table2427245[[#This Row],[Total travel time (hr) in a month (22 days)]]/22</f>
        <v>12</v>
      </c>
      <c r="AG27" s="13"/>
    </row>
    <row r="28" spans="1:33" x14ac:dyDescent="0.25">
      <c r="A28" t="s">
        <v>93</v>
      </c>
      <c r="B28" t="s">
        <v>64</v>
      </c>
      <c r="C28" t="s">
        <v>50</v>
      </c>
      <c r="D28" t="s">
        <v>25</v>
      </c>
      <c r="E28" t="s">
        <v>29</v>
      </c>
      <c r="F28" t="s">
        <v>52</v>
      </c>
      <c r="G28"/>
      <c r="H28" t="s">
        <v>54</v>
      </c>
      <c r="I28"/>
      <c r="J28" s="21">
        <v>0.79166666666666663</v>
      </c>
      <c r="K28" s="14">
        <v>0.70833333333333337</v>
      </c>
      <c r="L28" s="14">
        <v>0.79166666666666663</v>
      </c>
      <c r="M28"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8.3333333333333259E-2</v>
      </c>
      <c r="N28" s="34">
        <f>Table2427245[[#This Row],[Travel Time from Home to Work]]*24</f>
        <v>1.9999999999999982</v>
      </c>
      <c r="O28">
        <v>16</v>
      </c>
      <c r="P28" s="21">
        <v>0.20833333333333334</v>
      </c>
      <c r="Q28" s="44">
        <v>0.20833333333333334</v>
      </c>
      <c r="R28" s="44">
        <v>0.25</v>
      </c>
      <c r="S28" s="41">
        <f>IF(Table2427245[[#This Row],[End of Work (time)]]&lt;Table2427245[[#This Row],[Start of Work (time)]],Table2427245[[#This Row],[End of Work (time)]]+24-Table2427245[[#This Row],[Start of Work (time)]],Table2427245[[#This Row],[End of Work (time)]]-Table2427245[[#This Row],[Start of Work (time)]])</f>
        <v>23.416666666666664</v>
      </c>
      <c r="T28" s="79">
        <f>HOUR(Table2427245[[#This Row],[Total Work Hours]])+MINUTE(Table2427245[[#This Row],[Total Work Hours]])/60</f>
        <v>10</v>
      </c>
      <c r="U28"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4.1666666666666657E-2</v>
      </c>
      <c r="V28" s="78">
        <f>Table2427245[[#This Row],[Travel Time from Work to Home]]*24</f>
        <v>0.99999999999999978</v>
      </c>
      <c r="W28">
        <v>16</v>
      </c>
      <c r="X28" s="15">
        <f>Table2427245[[#This Row],[Travel Time from Work to Home]]+Table2427245[[#This Row],[Travel Time from Home to Work]]</f>
        <v>0.12499999999999992</v>
      </c>
      <c r="Y28" s="16">
        <f>HOUR(Table2427245[[#This Row],[Total Travel Time]])+MINUTE(Table2427245[[#This Row],[Total Travel Time]])/60</f>
        <v>3</v>
      </c>
      <c r="Z28" s="17">
        <f>Table2427245[[#This Row],[Total travel time in hr]]/(Table2427245[[#This Row],[Total travel time in hr]]+HOUR(Table2427245[[#This Row],[Total Work Hours]])+MINUTE(Table2427245[[#This Row],[Total Work Hours]])/60)</f>
        <v>0.23076923076923078</v>
      </c>
      <c r="AA28" s="18">
        <f>Table2427245[[#This Row],[Total travel time in hr]]/24</f>
        <v>0.125</v>
      </c>
      <c r="AB28" s="19">
        <f>Table2427245[[#This Row],[Total travel time in hr]]*22</f>
        <v>66</v>
      </c>
      <c r="AC28" s="19">
        <f>Table2427245[[#This Row],[Total travel time (hr) in a month (22 days)]]/24</f>
        <v>2.75</v>
      </c>
      <c r="AD28" s="47">
        <f>Table2427245[[#This Row],[Travel cost]]+Table2427245[[#This Row],[Travel cost ]]</f>
        <v>32</v>
      </c>
      <c r="AE28" s="47">
        <f>Table2427245[[#This Row],[Total Cost]]*22</f>
        <v>704</v>
      </c>
      <c r="AF28" s="19">
        <f>24-Table2427245[[#This Row],[Total Work Hours in Decimals]]-Table2427245[[#This Row],[Total travel time (hr) in a month (22 days)]]/22</f>
        <v>11</v>
      </c>
      <c r="AG28" s="13"/>
    </row>
    <row r="29" spans="1:33" x14ac:dyDescent="0.25">
      <c r="A29" t="s">
        <v>115</v>
      </c>
      <c r="B29" t="s">
        <v>49</v>
      </c>
      <c r="C29" t="s">
        <v>50</v>
      </c>
      <c r="D29" t="s">
        <v>25</v>
      </c>
      <c r="E29" t="s">
        <v>29</v>
      </c>
      <c r="F29" t="s">
        <v>55</v>
      </c>
      <c r="G29" t="s">
        <v>71</v>
      </c>
      <c r="H29" t="s">
        <v>63</v>
      </c>
      <c r="I29"/>
      <c r="J29" s="21">
        <v>0.35416666666666669</v>
      </c>
      <c r="K29" s="14">
        <v>0.27083333333333331</v>
      </c>
      <c r="L29" s="14">
        <v>0.33333333333333331</v>
      </c>
      <c r="M29"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6.25E-2</v>
      </c>
      <c r="N29" s="34">
        <f>Table2427245[[#This Row],[Travel Time from Home to Work]]*24</f>
        <v>1.5</v>
      </c>
      <c r="O29">
        <v>35</v>
      </c>
      <c r="P29" s="21">
        <v>0.75</v>
      </c>
      <c r="Q29" s="44">
        <v>0.75</v>
      </c>
      <c r="R29" s="44">
        <v>0.8125</v>
      </c>
      <c r="S29" s="41">
        <f>IF(Table2427245[[#This Row],[End of Work (time)]]&lt;Table2427245[[#This Row],[Start of Work (time)]],Table2427245[[#This Row],[End of Work (time)]]+24-Table2427245[[#This Row],[Start of Work (time)]],Table2427245[[#This Row],[End of Work (time)]]-Table2427245[[#This Row],[Start of Work (time)]])</f>
        <v>0.39583333333333331</v>
      </c>
      <c r="T29" s="79">
        <f>HOUR(Table2427245[[#This Row],[Total Work Hours]])+MINUTE(Table2427245[[#This Row],[Total Work Hours]])/60</f>
        <v>9.5</v>
      </c>
      <c r="U29"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6.25E-2</v>
      </c>
      <c r="V29" s="78">
        <f>Table2427245[[#This Row],[Travel Time from Work to Home]]*24</f>
        <v>1.5</v>
      </c>
      <c r="W29">
        <v>50</v>
      </c>
      <c r="X29" s="15">
        <f>Table2427245[[#This Row],[Travel Time from Work to Home]]+Table2427245[[#This Row],[Travel Time from Home to Work]]</f>
        <v>0.125</v>
      </c>
      <c r="Y29" s="16">
        <f>HOUR(Table2427245[[#This Row],[Total Travel Time]])+MINUTE(Table2427245[[#This Row],[Total Travel Time]])/60</f>
        <v>3</v>
      </c>
      <c r="Z29" s="17">
        <f>Table2427245[[#This Row],[Total travel time in hr]]/(Table2427245[[#This Row],[Total travel time in hr]]+HOUR(Table2427245[[#This Row],[Total Work Hours]])+MINUTE(Table2427245[[#This Row],[Total Work Hours]])/60)</f>
        <v>0.24</v>
      </c>
      <c r="AA29" s="18">
        <f>Table2427245[[#This Row],[Total travel time in hr]]/24</f>
        <v>0.125</v>
      </c>
      <c r="AB29" s="19">
        <f>Table2427245[[#This Row],[Total travel time in hr]]*22</f>
        <v>66</v>
      </c>
      <c r="AC29" s="19">
        <f>Table2427245[[#This Row],[Total travel time (hr) in a month (22 days)]]/24</f>
        <v>2.75</v>
      </c>
      <c r="AD29" s="47">
        <f>Table2427245[[#This Row],[Travel cost]]+Table2427245[[#This Row],[Travel cost ]]</f>
        <v>85</v>
      </c>
      <c r="AE29" s="47">
        <f>Table2427245[[#This Row],[Total Cost]]*22</f>
        <v>1870</v>
      </c>
      <c r="AF29" s="19">
        <f>24-Table2427245[[#This Row],[Total Work Hours in Decimals]]-Table2427245[[#This Row],[Total travel time (hr) in a month (22 days)]]/22</f>
        <v>11.5</v>
      </c>
      <c r="AG29" s="13"/>
    </row>
    <row r="30" spans="1:33" x14ac:dyDescent="0.25">
      <c r="A30" t="s">
        <v>89</v>
      </c>
      <c r="B30" t="s">
        <v>49</v>
      </c>
      <c r="C30" t="s">
        <v>53</v>
      </c>
      <c r="D30" t="s">
        <v>25</v>
      </c>
      <c r="E30" t="s">
        <v>29</v>
      </c>
      <c r="F30" t="s">
        <v>55</v>
      </c>
      <c r="G30" t="s">
        <v>58</v>
      </c>
      <c r="H30" t="s">
        <v>55</v>
      </c>
      <c r="I30" t="s">
        <v>58</v>
      </c>
      <c r="J30" s="21">
        <v>0.33333333333333331</v>
      </c>
      <c r="K30" s="14">
        <v>0.25</v>
      </c>
      <c r="L30" s="14">
        <v>0.3125</v>
      </c>
      <c r="M30"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6.25E-2</v>
      </c>
      <c r="N30" s="34">
        <f>Table2427245[[#This Row],[Travel Time from Home to Work]]*24</f>
        <v>1.5</v>
      </c>
      <c r="O30">
        <v>50</v>
      </c>
      <c r="P30" s="21">
        <v>0.70833333333333337</v>
      </c>
      <c r="Q30" s="45">
        <v>0.70833333333333337</v>
      </c>
      <c r="R30" s="45">
        <v>0.77083333333333337</v>
      </c>
      <c r="S30" s="41">
        <f>IF(Table2427245[[#This Row],[End of Work (time)]]&lt;Table2427245[[#This Row],[Start of Work (time)]],Table2427245[[#This Row],[End of Work (time)]]+24-Table2427245[[#This Row],[Start of Work (time)]],Table2427245[[#This Row],[End of Work (time)]]-Table2427245[[#This Row],[Start of Work (time)]])</f>
        <v>0.37500000000000006</v>
      </c>
      <c r="T30" s="79">
        <f>HOUR(Table2427245[[#This Row],[Total Work Hours]])+MINUTE(Table2427245[[#This Row],[Total Work Hours]])/60</f>
        <v>9</v>
      </c>
      <c r="U30"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6.25E-2</v>
      </c>
      <c r="V30" s="78">
        <f>Table2427245[[#This Row],[Travel Time from Work to Home]]*24</f>
        <v>1.5</v>
      </c>
      <c r="W30">
        <v>85</v>
      </c>
      <c r="X30" s="15">
        <f>Table2427245[[#This Row],[Travel Time from Work to Home]]+Table2427245[[#This Row],[Travel Time from Home to Work]]</f>
        <v>0.125</v>
      </c>
      <c r="Y30" s="16">
        <f>HOUR(Table2427245[[#This Row],[Total Travel Time]])+MINUTE(Table2427245[[#This Row],[Total Travel Time]])/60</f>
        <v>3</v>
      </c>
      <c r="Z30" s="17">
        <f>Table2427245[[#This Row],[Total travel time in hr]]/(Table2427245[[#This Row],[Total travel time in hr]]+HOUR(Table2427245[[#This Row],[Total Work Hours]])+MINUTE(Table2427245[[#This Row],[Total Work Hours]])/60)</f>
        <v>0.25</v>
      </c>
      <c r="AA30" s="18">
        <f>Table2427245[[#This Row],[Total travel time in hr]]/24</f>
        <v>0.125</v>
      </c>
      <c r="AB30" s="19">
        <f>Table2427245[[#This Row],[Total travel time in hr]]*22</f>
        <v>66</v>
      </c>
      <c r="AC30" s="19">
        <f>Table2427245[[#This Row],[Total travel time (hr) in a month (22 days)]]/24</f>
        <v>2.75</v>
      </c>
      <c r="AD30" s="47">
        <f>Table2427245[[#This Row],[Travel cost]]+Table2427245[[#This Row],[Travel cost ]]</f>
        <v>135</v>
      </c>
      <c r="AE30" s="47">
        <f>Table2427245[[#This Row],[Total Cost]]*22</f>
        <v>2970</v>
      </c>
      <c r="AF30" s="19">
        <f>24-Table2427245[[#This Row],[Total Work Hours in Decimals]]-Table2427245[[#This Row],[Total travel time (hr) in a month (22 days)]]/22</f>
        <v>12</v>
      </c>
      <c r="AG30" s="13"/>
    </row>
    <row r="31" spans="1:33" x14ac:dyDescent="0.25">
      <c r="A31" t="s">
        <v>104</v>
      </c>
      <c r="B31" t="s">
        <v>49</v>
      </c>
      <c r="C31" t="s">
        <v>53</v>
      </c>
      <c r="D31" t="s">
        <v>25</v>
      </c>
      <c r="E31" t="s">
        <v>27</v>
      </c>
      <c r="F31" t="s">
        <v>59</v>
      </c>
      <c r="G31"/>
      <c r="H31" t="s">
        <v>52</v>
      </c>
      <c r="I31"/>
      <c r="J31" s="21">
        <v>0.375</v>
      </c>
      <c r="K31" s="14">
        <v>0.32291666666666669</v>
      </c>
      <c r="L31" s="14">
        <v>0.375</v>
      </c>
      <c r="M31"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5.2083333333333315E-2</v>
      </c>
      <c r="N31" s="34">
        <f>Table2427245[[#This Row],[Travel Time from Home to Work]]*24</f>
        <v>1.2499999999999996</v>
      </c>
      <c r="O31">
        <v>70</v>
      </c>
      <c r="P31" s="21">
        <v>0.875</v>
      </c>
      <c r="Q31" s="44">
        <v>0.83333333333333337</v>
      </c>
      <c r="R31" s="44">
        <v>0.91666666666666663</v>
      </c>
      <c r="S31" s="41">
        <f>IF(Table2427245[[#This Row],[End of Work (time)]]&lt;Table2427245[[#This Row],[Start of Work (time)]],Table2427245[[#This Row],[End of Work (time)]]+24-Table2427245[[#This Row],[Start of Work (time)]],Table2427245[[#This Row],[End of Work (time)]]-Table2427245[[#This Row],[Start of Work (time)]])</f>
        <v>0.5</v>
      </c>
      <c r="T31" s="79">
        <f>HOUR(Table2427245[[#This Row],[Total Work Hours]])+MINUTE(Table2427245[[#This Row],[Total Work Hours]])/60</f>
        <v>12</v>
      </c>
      <c r="U31"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8.3333333333333259E-2</v>
      </c>
      <c r="V31" s="78">
        <f>Table2427245[[#This Row],[Travel Time from Work to Home]]*24</f>
        <v>1.9999999999999982</v>
      </c>
      <c r="W31">
        <v>100</v>
      </c>
      <c r="X31" s="15">
        <f>Table2427245[[#This Row],[Travel Time from Work to Home]]+Table2427245[[#This Row],[Travel Time from Home to Work]]</f>
        <v>0.13541666666666657</v>
      </c>
      <c r="Y31" s="16">
        <f>HOUR(Table2427245[[#This Row],[Total Travel Time]])+MINUTE(Table2427245[[#This Row],[Total Travel Time]])/60</f>
        <v>3.25</v>
      </c>
      <c r="Z31" s="17">
        <f>Table2427245[[#This Row],[Total travel time in hr]]/(Table2427245[[#This Row],[Total travel time in hr]]+HOUR(Table2427245[[#This Row],[Total Work Hours]])+MINUTE(Table2427245[[#This Row],[Total Work Hours]])/60)</f>
        <v>0.21311475409836064</v>
      </c>
      <c r="AA31" s="18">
        <f>Table2427245[[#This Row],[Total travel time in hr]]/24</f>
        <v>0.13541666666666666</v>
      </c>
      <c r="AB31" s="19">
        <f>Table2427245[[#This Row],[Total travel time in hr]]*22</f>
        <v>71.5</v>
      </c>
      <c r="AC31" s="19">
        <f>Table2427245[[#This Row],[Total travel time (hr) in a month (22 days)]]/24</f>
        <v>2.9791666666666665</v>
      </c>
      <c r="AD31" s="47">
        <f>Table2427245[[#This Row],[Travel cost]]+Table2427245[[#This Row],[Travel cost ]]</f>
        <v>170</v>
      </c>
      <c r="AE31" s="47">
        <f>Table2427245[[#This Row],[Total Cost]]*22</f>
        <v>3740</v>
      </c>
      <c r="AF31" s="19">
        <f>24-Table2427245[[#This Row],[Total Work Hours in Decimals]]-Table2427245[[#This Row],[Total travel time (hr) in a month (22 days)]]/22</f>
        <v>8.75</v>
      </c>
      <c r="AG31" s="13"/>
    </row>
    <row r="32" spans="1:33" x14ac:dyDescent="0.25">
      <c r="A32" t="s">
        <v>109</v>
      </c>
      <c r="B32" t="s">
        <v>64</v>
      </c>
      <c r="C32" t="s">
        <v>50</v>
      </c>
      <c r="D32" t="s">
        <v>25</v>
      </c>
      <c r="E32" t="s">
        <v>29</v>
      </c>
      <c r="F32" t="s">
        <v>55</v>
      </c>
      <c r="G32" t="s">
        <v>67</v>
      </c>
      <c r="H32" t="s">
        <v>54</v>
      </c>
      <c r="I32"/>
      <c r="J32" s="21">
        <v>0.58333333333333337</v>
      </c>
      <c r="K32" s="14">
        <v>0.47916666666666669</v>
      </c>
      <c r="L32" s="14">
        <v>0.58333333333333337</v>
      </c>
      <c r="M32"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0.10416666666666669</v>
      </c>
      <c r="N32" s="34">
        <f>Table2427245[[#This Row],[Travel Time from Home to Work]]*24</f>
        <v>2.5000000000000004</v>
      </c>
      <c r="O32">
        <v>102</v>
      </c>
      <c r="P32" s="21">
        <v>0</v>
      </c>
      <c r="Q32" s="44">
        <v>0</v>
      </c>
      <c r="R32" s="44">
        <v>4.1666666666666664E-2</v>
      </c>
      <c r="S32" s="41">
        <f>IF(Table2427245[[#This Row],[End of Work (time)]]&lt;Table2427245[[#This Row],[Start of Work (time)]],Table2427245[[#This Row],[End of Work (time)]]+24-Table2427245[[#This Row],[Start of Work (time)]],Table2427245[[#This Row],[End of Work (time)]]-Table2427245[[#This Row],[Start of Work (time)]])</f>
        <v>23.416666666666668</v>
      </c>
      <c r="T32" s="79">
        <f>HOUR(Table2427245[[#This Row],[Total Work Hours]])+MINUTE(Table2427245[[#This Row],[Total Work Hours]])/60</f>
        <v>10</v>
      </c>
      <c r="U32"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4.1666666666666664E-2</v>
      </c>
      <c r="V32" s="78">
        <f>Table2427245[[#This Row],[Travel Time from Work to Home]]*24</f>
        <v>1</v>
      </c>
      <c r="W32">
        <v>0</v>
      </c>
      <c r="X32" s="15">
        <f>Table2427245[[#This Row],[Travel Time from Work to Home]]+Table2427245[[#This Row],[Travel Time from Home to Work]]</f>
        <v>0.14583333333333334</v>
      </c>
      <c r="Y32" s="16">
        <f>HOUR(Table2427245[[#This Row],[Total Travel Time]])+MINUTE(Table2427245[[#This Row],[Total Travel Time]])/60</f>
        <v>3.5</v>
      </c>
      <c r="Z32" s="17">
        <f>Table2427245[[#This Row],[Total travel time in hr]]/(Table2427245[[#This Row],[Total travel time in hr]]+HOUR(Table2427245[[#This Row],[Total Work Hours]])+MINUTE(Table2427245[[#This Row],[Total Work Hours]])/60)</f>
        <v>0.25925925925925924</v>
      </c>
      <c r="AA32" s="18">
        <f>Table2427245[[#This Row],[Total travel time in hr]]/24</f>
        <v>0.14583333333333334</v>
      </c>
      <c r="AB32" s="19">
        <f>Table2427245[[#This Row],[Total travel time in hr]]*22</f>
        <v>77</v>
      </c>
      <c r="AC32" s="19">
        <f>Table2427245[[#This Row],[Total travel time (hr) in a month (22 days)]]/24</f>
        <v>3.2083333333333335</v>
      </c>
      <c r="AD32" s="47">
        <f>Table2427245[[#This Row],[Travel cost]]+Table2427245[[#This Row],[Travel cost ]]</f>
        <v>102</v>
      </c>
      <c r="AE32" s="47">
        <f>Table2427245[[#This Row],[Total Cost]]*22</f>
        <v>2244</v>
      </c>
      <c r="AF32" s="19">
        <f>24-Table2427245[[#This Row],[Total Work Hours in Decimals]]-Table2427245[[#This Row],[Total travel time (hr) in a month (22 days)]]/22</f>
        <v>10.5</v>
      </c>
      <c r="AG32" s="13"/>
    </row>
    <row r="33" spans="1:34" x14ac:dyDescent="0.25">
      <c r="A33" t="s">
        <v>114</v>
      </c>
      <c r="B33" t="s">
        <v>49</v>
      </c>
      <c r="C33" t="s">
        <v>76</v>
      </c>
      <c r="D33" t="s">
        <v>25</v>
      </c>
      <c r="E33" t="s">
        <v>29</v>
      </c>
      <c r="F33" t="s">
        <v>61</v>
      </c>
      <c r="G33"/>
      <c r="H33" t="s">
        <v>52</v>
      </c>
      <c r="I33"/>
      <c r="J33" s="21">
        <v>0.41666666666666669</v>
      </c>
      <c r="K33" s="14">
        <v>0.29166666666666669</v>
      </c>
      <c r="L33" s="14">
        <v>0.39583333333333331</v>
      </c>
      <c r="M33"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0.10416666666666663</v>
      </c>
      <c r="N33" s="34">
        <f>Table2427245[[#This Row],[Travel Time from Home to Work]]*24</f>
        <v>2.4999999999999991</v>
      </c>
      <c r="O33">
        <v>60</v>
      </c>
      <c r="P33" s="21">
        <v>0.875</v>
      </c>
      <c r="Q33" s="44">
        <v>0.875</v>
      </c>
      <c r="R33" s="44">
        <v>0.9375</v>
      </c>
      <c r="S33" s="41">
        <f>IF(Table2427245[[#This Row],[End of Work (time)]]&lt;Table2427245[[#This Row],[Start of Work (time)]],Table2427245[[#This Row],[End of Work (time)]]+24-Table2427245[[#This Row],[Start of Work (time)]],Table2427245[[#This Row],[End of Work (time)]]-Table2427245[[#This Row],[Start of Work (time)]])</f>
        <v>0.45833333333333331</v>
      </c>
      <c r="T33" s="79">
        <f>HOUR(Table2427245[[#This Row],[Total Work Hours]])+MINUTE(Table2427245[[#This Row],[Total Work Hours]])/60</f>
        <v>11</v>
      </c>
      <c r="U33"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6.25E-2</v>
      </c>
      <c r="V33" s="78">
        <f>Table2427245[[#This Row],[Travel Time from Work to Home]]*24</f>
        <v>1.5</v>
      </c>
      <c r="W33">
        <v>60</v>
      </c>
      <c r="X33" s="15">
        <f>Table2427245[[#This Row],[Travel Time from Work to Home]]+Table2427245[[#This Row],[Travel Time from Home to Work]]</f>
        <v>0.16666666666666663</v>
      </c>
      <c r="Y33" s="16">
        <f>HOUR(Table2427245[[#This Row],[Total Travel Time]])+MINUTE(Table2427245[[#This Row],[Total Travel Time]])/60</f>
        <v>4</v>
      </c>
      <c r="Z33" s="17">
        <f>Table2427245[[#This Row],[Total travel time in hr]]/(Table2427245[[#This Row],[Total travel time in hr]]+HOUR(Table2427245[[#This Row],[Total Work Hours]])+MINUTE(Table2427245[[#This Row],[Total Work Hours]])/60)</f>
        <v>0.26666666666666666</v>
      </c>
      <c r="AA33" s="18">
        <f>Table2427245[[#This Row],[Total travel time in hr]]/24</f>
        <v>0.16666666666666666</v>
      </c>
      <c r="AB33" s="19">
        <f>Table2427245[[#This Row],[Total travel time in hr]]*22</f>
        <v>88</v>
      </c>
      <c r="AC33" s="19">
        <f>Table2427245[[#This Row],[Total travel time (hr) in a month (22 days)]]/24</f>
        <v>3.6666666666666665</v>
      </c>
      <c r="AD33" s="47">
        <f>Table2427245[[#This Row],[Travel cost]]+Table2427245[[#This Row],[Travel cost ]]</f>
        <v>120</v>
      </c>
      <c r="AE33" s="47">
        <f>Table2427245[[#This Row],[Total Cost]]*22</f>
        <v>2640</v>
      </c>
      <c r="AF33" s="19">
        <f>24-Table2427245[[#This Row],[Total Work Hours in Decimals]]-Table2427245[[#This Row],[Total travel time (hr) in a month (22 days)]]/22</f>
        <v>9</v>
      </c>
      <c r="AG33" s="13"/>
    </row>
    <row r="34" spans="1:34" x14ac:dyDescent="0.25">
      <c r="A34" t="s">
        <v>106</v>
      </c>
      <c r="B34" t="s">
        <v>49</v>
      </c>
      <c r="C34" t="s">
        <v>50</v>
      </c>
      <c r="D34" t="s">
        <v>25</v>
      </c>
      <c r="E34" t="s">
        <v>29</v>
      </c>
      <c r="F34" t="s">
        <v>59</v>
      </c>
      <c r="G34"/>
      <c r="H34" t="s">
        <v>52</v>
      </c>
      <c r="I34"/>
      <c r="J34" s="21">
        <v>0.33333333333333331</v>
      </c>
      <c r="K34" s="14">
        <v>0.22916666666666666</v>
      </c>
      <c r="L34" s="14">
        <v>0.29166666666666669</v>
      </c>
      <c r="M34"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6.2500000000000028E-2</v>
      </c>
      <c r="N34" s="34">
        <f>Table2427245[[#This Row],[Travel Time from Home to Work]]*24</f>
        <v>1.5000000000000007</v>
      </c>
      <c r="O34">
        <v>45</v>
      </c>
      <c r="P34" s="21">
        <v>0.70833333333333337</v>
      </c>
      <c r="Q34" s="44">
        <v>0.70833333333333337</v>
      </c>
      <c r="R34" s="44">
        <v>0.8125</v>
      </c>
      <c r="S34" s="41">
        <f>IF(Table2427245[[#This Row],[End of Work (time)]]&lt;Table2427245[[#This Row],[Start of Work (time)]],Table2427245[[#This Row],[End of Work (time)]]+24-Table2427245[[#This Row],[Start of Work (time)]],Table2427245[[#This Row],[End of Work (time)]]-Table2427245[[#This Row],[Start of Work (time)]])</f>
        <v>0.37500000000000006</v>
      </c>
      <c r="T34" s="79">
        <f>HOUR(Table2427245[[#This Row],[Total Work Hours]])+MINUTE(Table2427245[[#This Row],[Total Work Hours]])/60</f>
        <v>9</v>
      </c>
      <c r="U34"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0.10416666666666663</v>
      </c>
      <c r="V34" s="78">
        <f>Table2427245[[#This Row],[Travel Time from Work to Home]]*24</f>
        <v>2.4999999999999991</v>
      </c>
      <c r="W34">
        <v>45</v>
      </c>
      <c r="X34" s="15">
        <f>Table2427245[[#This Row],[Travel Time from Work to Home]]+Table2427245[[#This Row],[Travel Time from Home to Work]]</f>
        <v>0.16666666666666666</v>
      </c>
      <c r="Y34" s="16">
        <f>HOUR(Table2427245[[#This Row],[Total Travel Time]])+MINUTE(Table2427245[[#This Row],[Total Travel Time]])/60</f>
        <v>4</v>
      </c>
      <c r="Z34" s="17">
        <f>Table2427245[[#This Row],[Total travel time in hr]]/(Table2427245[[#This Row],[Total travel time in hr]]+HOUR(Table2427245[[#This Row],[Total Work Hours]])+MINUTE(Table2427245[[#This Row],[Total Work Hours]])/60)</f>
        <v>0.30769230769230771</v>
      </c>
      <c r="AA34" s="18">
        <f>Table2427245[[#This Row],[Total travel time in hr]]/24</f>
        <v>0.16666666666666666</v>
      </c>
      <c r="AB34" s="19">
        <f>Table2427245[[#This Row],[Total travel time in hr]]*22</f>
        <v>88</v>
      </c>
      <c r="AC34" s="19">
        <f>Table2427245[[#This Row],[Total travel time (hr) in a month (22 days)]]/24</f>
        <v>3.6666666666666665</v>
      </c>
      <c r="AD34" s="47">
        <f>Table2427245[[#This Row],[Travel cost]]+Table2427245[[#This Row],[Travel cost ]]</f>
        <v>90</v>
      </c>
      <c r="AE34" s="47">
        <f>Table2427245[[#This Row],[Total Cost]]*22</f>
        <v>1980</v>
      </c>
      <c r="AF34" s="19">
        <f>24-Table2427245[[#This Row],[Total Work Hours in Decimals]]-Table2427245[[#This Row],[Total travel time (hr) in a month (22 days)]]/22</f>
        <v>11</v>
      </c>
      <c r="AG34" s="13"/>
    </row>
    <row r="35" spans="1:34" x14ac:dyDescent="0.25">
      <c r="A35" t="s">
        <v>101</v>
      </c>
      <c r="B35" t="s">
        <v>49</v>
      </c>
      <c r="C35" t="s">
        <v>53</v>
      </c>
      <c r="D35" t="s">
        <v>25</v>
      </c>
      <c r="E35" t="s">
        <v>29</v>
      </c>
      <c r="F35" t="s">
        <v>52</v>
      </c>
      <c r="G35"/>
      <c r="H35" t="s">
        <v>61</v>
      </c>
      <c r="I35"/>
      <c r="J35" s="21">
        <v>0.25</v>
      </c>
      <c r="K35" s="14">
        <v>0.1875</v>
      </c>
      <c r="L35" s="14">
        <v>0.27083333333333331</v>
      </c>
      <c r="M35"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8.3333333333333315E-2</v>
      </c>
      <c r="N35" s="34">
        <f>Table2427245[[#This Row],[Travel Time from Home to Work]]*24</f>
        <v>1.9999999999999996</v>
      </c>
      <c r="O35">
        <v>100</v>
      </c>
      <c r="P35" s="21">
        <v>0.6875</v>
      </c>
      <c r="Q35" s="44">
        <v>0.66666666666666663</v>
      </c>
      <c r="R35" s="44">
        <v>0.75</v>
      </c>
      <c r="S35" s="41">
        <f>IF(Table2427245[[#This Row],[End of Work (time)]]&lt;Table2427245[[#This Row],[Start of Work (time)]],Table2427245[[#This Row],[End of Work (time)]]+24-Table2427245[[#This Row],[Start of Work (time)]],Table2427245[[#This Row],[End of Work (time)]]-Table2427245[[#This Row],[Start of Work (time)]])</f>
        <v>0.4375</v>
      </c>
      <c r="T35" s="79">
        <f>HOUR(Table2427245[[#This Row],[Total Work Hours]])+MINUTE(Table2427245[[#This Row],[Total Work Hours]])/60</f>
        <v>10.5</v>
      </c>
      <c r="U35"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8.333333333333337E-2</v>
      </c>
      <c r="V35" s="78">
        <f>Table2427245[[#This Row],[Travel Time from Work to Home]]*24</f>
        <v>2.0000000000000009</v>
      </c>
      <c r="W35">
        <v>100</v>
      </c>
      <c r="X35" s="15">
        <f>Table2427245[[#This Row],[Travel Time from Work to Home]]+Table2427245[[#This Row],[Travel Time from Home to Work]]</f>
        <v>0.16666666666666669</v>
      </c>
      <c r="Y35" s="16">
        <f>HOUR(Table2427245[[#This Row],[Total Travel Time]])+MINUTE(Table2427245[[#This Row],[Total Travel Time]])/60</f>
        <v>4</v>
      </c>
      <c r="Z35" s="17">
        <f>Table2427245[[#This Row],[Total travel time in hr]]/(Table2427245[[#This Row],[Total travel time in hr]]+HOUR(Table2427245[[#This Row],[Total Work Hours]])+MINUTE(Table2427245[[#This Row],[Total Work Hours]])/60)</f>
        <v>0.27586206896551724</v>
      </c>
      <c r="AA35" s="18">
        <f>Table2427245[[#This Row],[Total travel time in hr]]/24</f>
        <v>0.16666666666666666</v>
      </c>
      <c r="AB35" s="19">
        <f>Table2427245[[#This Row],[Total travel time in hr]]*22</f>
        <v>88</v>
      </c>
      <c r="AC35" s="19">
        <f>Table2427245[[#This Row],[Total travel time (hr) in a month (22 days)]]/24</f>
        <v>3.6666666666666665</v>
      </c>
      <c r="AD35" s="47">
        <f>Table2427245[[#This Row],[Travel cost]]+Table2427245[[#This Row],[Travel cost ]]</f>
        <v>200</v>
      </c>
      <c r="AE35" s="47">
        <f>Table2427245[[#This Row],[Total Cost]]*22</f>
        <v>4400</v>
      </c>
      <c r="AF35" s="19">
        <f>24-Table2427245[[#This Row],[Total Work Hours in Decimals]]-Table2427245[[#This Row],[Total travel time (hr) in a month (22 days)]]/22</f>
        <v>9.5</v>
      </c>
      <c r="AG35" s="13"/>
    </row>
    <row r="36" spans="1:34" x14ac:dyDescent="0.25">
      <c r="A36" t="s">
        <v>105</v>
      </c>
      <c r="B36" t="s">
        <v>49</v>
      </c>
      <c r="C36" t="s">
        <v>50</v>
      </c>
      <c r="D36" t="s">
        <v>25</v>
      </c>
      <c r="E36" t="s">
        <v>29</v>
      </c>
      <c r="F36" t="s">
        <v>55</v>
      </c>
      <c r="G36" t="s">
        <v>66</v>
      </c>
      <c r="H36" t="s">
        <v>54</v>
      </c>
      <c r="I36"/>
      <c r="J36" s="21">
        <v>0.41666666666666669</v>
      </c>
      <c r="K36" s="14">
        <v>0.29166666666666669</v>
      </c>
      <c r="L36" s="14">
        <v>0.375</v>
      </c>
      <c r="M36"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8.3333333333333315E-2</v>
      </c>
      <c r="N36" s="34">
        <f>Table2427245[[#This Row],[Travel Time from Home to Work]]*24</f>
        <v>1.9999999999999996</v>
      </c>
      <c r="O36">
        <v>60</v>
      </c>
      <c r="P36" s="21">
        <v>0.79166666666666663</v>
      </c>
      <c r="Q36" s="44">
        <v>0.79166666666666663</v>
      </c>
      <c r="R36" s="44">
        <v>0.875</v>
      </c>
      <c r="S36" s="41">
        <f>IF(Table2427245[[#This Row],[End of Work (time)]]&lt;Table2427245[[#This Row],[Start of Work (time)]],Table2427245[[#This Row],[End of Work (time)]]+24-Table2427245[[#This Row],[Start of Work (time)]],Table2427245[[#This Row],[End of Work (time)]]-Table2427245[[#This Row],[Start of Work (time)]])</f>
        <v>0.37499999999999994</v>
      </c>
      <c r="T36" s="79">
        <f>HOUR(Table2427245[[#This Row],[Total Work Hours]])+MINUTE(Table2427245[[#This Row],[Total Work Hours]])/60</f>
        <v>9</v>
      </c>
      <c r="U36"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8.333333333333337E-2</v>
      </c>
      <c r="V36" s="78">
        <f>Table2427245[[#This Row],[Travel Time from Work to Home]]*24</f>
        <v>2.0000000000000009</v>
      </c>
      <c r="W36">
        <v>65</v>
      </c>
      <c r="X36" s="15">
        <f>Table2427245[[#This Row],[Travel Time from Work to Home]]+Table2427245[[#This Row],[Travel Time from Home to Work]]</f>
        <v>0.16666666666666669</v>
      </c>
      <c r="Y36" s="16">
        <f>HOUR(Table2427245[[#This Row],[Total Travel Time]])+MINUTE(Table2427245[[#This Row],[Total Travel Time]])/60</f>
        <v>4</v>
      </c>
      <c r="Z36" s="17">
        <f>Table2427245[[#This Row],[Total travel time in hr]]/(Table2427245[[#This Row],[Total travel time in hr]]+HOUR(Table2427245[[#This Row],[Total Work Hours]])+MINUTE(Table2427245[[#This Row],[Total Work Hours]])/60)</f>
        <v>0.30769230769230771</v>
      </c>
      <c r="AA36" s="18">
        <f>Table2427245[[#This Row],[Total travel time in hr]]/24</f>
        <v>0.16666666666666666</v>
      </c>
      <c r="AB36" s="19">
        <f>Table2427245[[#This Row],[Total travel time in hr]]*22</f>
        <v>88</v>
      </c>
      <c r="AC36" s="19">
        <f>Table2427245[[#This Row],[Total travel time (hr) in a month (22 days)]]/24</f>
        <v>3.6666666666666665</v>
      </c>
      <c r="AD36" s="47">
        <f>Table2427245[[#This Row],[Travel cost]]+Table2427245[[#This Row],[Travel cost ]]</f>
        <v>125</v>
      </c>
      <c r="AE36" s="47">
        <f>Table2427245[[#This Row],[Total Cost]]*22</f>
        <v>2750</v>
      </c>
      <c r="AF36" s="19">
        <f>24-Table2427245[[#This Row],[Total Work Hours in Decimals]]-Table2427245[[#This Row],[Total travel time (hr) in a month (22 days)]]/22</f>
        <v>11</v>
      </c>
      <c r="AG36" s="13"/>
    </row>
    <row r="37" spans="1:34" x14ac:dyDescent="0.25">
      <c r="A37" t="s">
        <v>87</v>
      </c>
      <c r="B37" t="s">
        <v>49</v>
      </c>
      <c r="C37" t="s">
        <v>50</v>
      </c>
      <c r="D37" t="s">
        <v>25</v>
      </c>
      <c r="E37" t="s">
        <v>29</v>
      </c>
      <c r="F37" t="s">
        <v>51</v>
      </c>
      <c r="G37"/>
      <c r="H37" t="s">
        <v>54</v>
      </c>
      <c r="I37"/>
      <c r="J37" s="21">
        <v>0.33333333333333331</v>
      </c>
      <c r="K37" s="14">
        <v>0.25</v>
      </c>
      <c r="L37" s="14">
        <v>0.33333333333333331</v>
      </c>
      <c r="M37"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8.3333333333333315E-2</v>
      </c>
      <c r="N37" s="34">
        <f>Table2427245[[#This Row],[Travel Time from Home to Work]]*24</f>
        <v>1.9999999999999996</v>
      </c>
      <c r="O37">
        <v>0</v>
      </c>
      <c r="P37" s="21">
        <v>0.75</v>
      </c>
      <c r="Q37" s="44">
        <v>0.75</v>
      </c>
      <c r="R37" s="44">
        <v>0.875</v>
      </c>
      <c r="S37" s="41">
        <f>IF(Table2427245[[#This Row],[End of Work (time)]]&lt;Table2427245[[#This Row],[Start of Work (time)]],Table2427245[[#This Row],[End of Work (time)]]+24-Table2427245[[#This Row],[Start of Work (time)]],Table2427245[[#This Row],[End of Work (time)]]-Table2427245[[#This Row],[Start of Work (time)]])</f>
        <v>0.41666666666666669</v>
      </c>
      <c r="T37" s="79">
        <f>HOUR(Table2427245[[#This Row],[Total Work Hours]])+MINUTE(Table2427245[[#This Row],[Total Work Hours]])/60</f>
        <v>10</v>
      </c>
      <c r="U37"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0.125</v>
      </c>
      <c r="V37" s="78">
        <f>Table2427245[[#This Row],[Travel Time from Work to Home]]*24</f>
        <v>3</v>
      </c>
      <c r="W37">
        <v>0</v>
      </c>
      <c r="X37" s="15">
        <f>Table2427245[[#This Row],[Travel Time from Work to Home]]+Table2427245[[#This Row],[Travel Time from Home to Work]]</f>
        <v>0.20833333333333331</v>
      </c>
      <c r="Y37" s="16">
        <f>HOUR(Table2427245[[#This Row],[Total Travel Time]])+MINUTE(Table2427245[[#This Row],[Total Travel Time]])/60</f>
        <v>5</v>
      </c>
      <c r="Z37" s="17">
        <f>Table2427245[[#This Row],[Total travel time in hr]]/(Table2427245[[#This Row],[Total travel time in hr]]+HOUR(Table2427245[[#This Row],[Total Work Hours]])+MINUTE(Table2427245[[#This Row],[Total Work Hours]])/60)</f>
        <v>0.33333333333333331</v>
      </c>
      <c r="AA37" s="18">
        <f>Table2427245[[#This Row],[Total travel time in hr]]/24</f>
        <v>0.20833333333333334</v>
      </c>
      <c r="AB37" s="19">
        <f>Table2427245[[#This Row],[Total travel time in hr]]*22</f>
        <v>110</v>
      </c>
      <c r="AC37" s="19">
        <f>Table2427245[[#This Row],[Total travel time (hr) in a month (22 days)]]/24</f>
        <v>4.583333333333333</v>
      </c>
      <c r="AD37" s="47">
        <f>Table2427245[[#This Row],[Travel cost]]+Table2427245[[#This Row],[Travel cost ]]</f>
        <v>0</v>
      </c>
      <c r="AE37" s="47">
        <f>Table2427245[[#This Row],[Total Cost]]*22</f>
        <v>0</v>
      </c>
      <c r="AF37" s="19">
        <f>24-Table2427245[[#This Row],[Total Work Hours in Decimals]]-Table2427245[[#This Row],[Total travel time (hr) in a month (22 days)]]/22</f>
        <v>9</v>
      </c>
      <c r="AG37" s="13"/>
    </row>
    <row r="38" spans="1:34" x14ac:dyDescent="0.25">
      <c r="A38" t="s">
        <v>90</v>
      </c>
      <c r="B38" t="s">
        <v>49</v>
      </c>
      <c r="C38" t="s">
        <v>53</v>
      </c>
      <c r="D38" t="s">
        <v>25</v>
      </c>
      <c r="E38" t="s">
        <v>27</v>
      </c>
      <c r="F38" t="s">
        <v>59</v>
      </c>
      <c r="G38"/>
      <c r="H38" t="s">
        <v>61</v>
      </c>
      <c r="I38"/>
      <c r="J38" s="21">
        <v>0.27083333333333331</v>
      </c>
      <c r="K38" s="14">
        <v>0.20833333333333334</v>
      </c>
      <c r="L38" s="14">
        <v>0.27083333333333331</v>
      </c>
      <c r="M38"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6.2499999999999972E-2</v>
      </c>
      <c r="N38" s="34">
        <f>Table2427245[[#This Row],[Travel Time from Home to Work]]*24</f>
        <v>1.4999999999999993</v>
      </c>
      <c r="O38">
        <v>80</v>
      </c>
      <c r="P38" s="21">
        <v>0.60416666666666663</v>
      </c>
      <c r="Q38" s="44">
        <v>0.60416666666666663</v>
      </c>
      <c r="R38" s="44">
        <v>0.75</v>
      </c>
      <c r="S38" s="41">
        <f>IF(Table2427245[[#This Row],[End of Work (time)]]&lt;Table2427245[[#This Row],[Start of Work (time)]],Table2427245[[#This Row],[End of Work (time)]]+24-Table2427245[[#This Row],[Start of Work (time)]],Table2427245[[#This Row],[End of Work (time)]]-Table2427245[[#This Row],[Start of Work (time)]])</f>
        <v>0.33333333333333331</v>
      </c>
      <c r="T38" s="79">
        <f>HOUR(Table2427245[[#This Row],[Total Work Hours]])+MINUTE(Table2427245[[#This Row],[Total Work Hours]])/60</f>
        <v>8</v>
      </c>
      <c r="U38"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0.14583333333333337</v>
      </c>
      <c r="V38" s="78">
        <f>Table2427245[[#This Row],[Travel Time from Work to Home]]*24</f>
        <v>3.5000000000000009</v>
      </c>
      <c r="W38">
        <v>80</v>
      </c>
      <c r="X38" s="15">
        <f>Table2427245[[#This Row],[Travel Time from Work to Home]]+Table2427245[[#This Row],[Travel Time from Home to Work]]</f>
        <v>0.20833333333333334</v>
      </c>
      <c r="Y38" s="16">
        <f>HOUR(Table2427245[[#This Row],[Total Travel Time]])+MINUTE(Table2427245[[#This Row],[Total Travel Time]])/60</f>
        <v>5</v>
      </c>
      <c r="Z38" s="17">
        <f>Table2427245[[#This Row],[Total travel time in hr]]/(Table2427245[[#This Row],[Total travel time in hr]]+HOUR(Table2427245[[#This Row],[Total Work Hours]])+MINUTE(Table2427245[[#This Row],[Total Work Hours]])/60)</f>
        <v>0.38461538461538464</v>
      </c>
      <c r="AA38" s="18">
        <f>Table2427245[[#This Row],[Total travel time in hr]]/24</f>
        <v>0.20833333333333334</v>
      </c>
      <c r="AB38" s="19">
        <f>Table2427245[[#This Row],[Total travel time in hr]]*22</f>
        <v>110</v>
      </c>
      <c r="AC38" s="19">
        <f>Table2427245[[#This Row],[Total travel time (hr) in a month (22 days)]]/24</f>
        <v>4.583333333333333</v>
      </c>
      <c r="AD38" s="47">
        <f>Table2427245[[#This Row],[Travel cost]]+Table2427245[[#This Row],[Travel cost ]]</f>
        <v>160</v>
      </c>
      <c r="AE38" s="47">
        <f>Table2427245[[#This Row],[Total Cost]]*22</f>
        <v>3520</v>
      </c>
      <c r="AF38" s="19">
        <f>24-Table2427245[[#This Row],[Total Work Hours in Decimals]]-Table2427245[[#This Row],[Total travel time (hr) in a month (22 days)]]/22</f>
        <v>11</v>
      </c>
      <c r="AG38" s="13"/>
    </row>
    <row r="39" spans="1:34" x14ac:dyDescent="0.25">
      <c r="A39" t="s">
        <v>103</v>
      </c>
      <c r="B39" t="s">
        <v>49</v>
      </c>
      <c r="C39" t="s">
        <v>50</v>
      </c>
      <c r="D39" t="s">
        <v>25</v>
      </c>
      <c r="E39" t="s">
        <v>29</v>
      </c>
      <c r="F39" t="s">
        <v>62</v>
      </c>
      <c r="G39"/>
      <c r="H39" t="s">
        <v>54</v>
      </c>
      <c r="I39"/>
      <c r="J39" s="21">
        <v>0.375</v>
      </c>
      <c r="K39" s="14">
        <v>0.20833333333333334</v>
      </c>
      <c r="L39" s="14">
        <v>0.3125</v>
      </c>
      <c r="M39"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0.10416666666666666</v>
      </c>
      <c r="N39" s="34">
        <f>Table2427245[[#This Row],[Travel Time from Home to Work]]*24</f>
        <v>2.5</v>
      </c>
      <c r="O39">
        <v>100</v>
      </c>
      <c r="P39" s="21">
        <v>0.83333333333333337</v>
      </c>
      <c r="Q39" s="44">
        <v>0.83333333333333337</v>
      </c>
      <c r="R39" s="44">
        <v>0.95833333333333337</v>
      </c>
      <c r="S39" s="41">
        <f>IF(Table2427245[[#This Row],[End of Work (time)]]&lt;Table2427245[[#This Row],[Start of Work (time)]],Table2427245[[#This Row],[End of Work (time)]]+24-Table2427245[[#This Row],[Start of Work (time)]],Table2427245[[#This Row],[End of Work (time)]]-Table2427245[[#This Row],[Start of Work (time)]])</f>
        <v>0.45833333333333337</v>
      </c>
      <c r="T39" s="79">
        <f>HOUR(Table2427245[[#This Row],[Total Work Hours]])+MINUTE(Table2427245[[#This Row],[Total Work Hours]])/60</f>
        <v>11</v>
      </c>
      <c r="U39"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0.125</v>
      </c>
      <c r="V39" s="78">
        <f>Table2427245[[#This Row],[Travel Time from Work to Home]]*24</f>
        <v>3</v>
      </c>
      <c r="W39">
        <v>100</v>
      </c>
      <c r="X39" s="15">
        <f>Table2427245[[#This Row],[Travel Time from Work to Home]]+Table2427245[[#This Row],[Travel Time from Home to Work]]</f>
        <v>0.22916666666666666</v>
      </c>
      <c r="Y39" s="16">
        <f>HOUR(Table2427245[[#This Row],[Total Travel Time]])+MINUTE(Table2427245[[#This Row],[Total Travel Time]])/60</f>
        <v>5.5</v>
      </c>
      <c r="Z39" s="17">
        <f>Table2427245[[#This Row],[Total travel time in hr]]/(Table2427245[[#This Row],[Total travel time in hr]]+HOUR(Table2427245[[#This Row],[Total Work Hours]])+MINUTE(Table2427245[[#This Row],[Total Work Hours]])/60)</f>
        <v>0.33333333333333331</v>
      </c>
      <c r="AA39" s="18">
        <f>Table2427245[[#This Row],[Total travel time in hr]]/24</f>
        <v>0.22916666666666666</v>
      </c>
      <c r="AB39" s="19">
        <f>Table2427245[[#This Row],[Total travel time in hr]]*22</f>
        <v>121</v>
      </c>
      <c r="AC39" s="19">
        <f>Table2427245[[#This Row],[Total travel time (hr) in a month (22 days)]]/24</f>
        <v>5.041666666666667</v>
      </c>
      <c r="AD39" s="47">
        <f>Table2427245[[#This Row],[Travel cost]]+Table2427245[[#This Row],[Travel cost ]]</f>
        <v>200</v>
      </c>
      <c r="AE39" s="47">
        <f>Table2427245[[#This Row],[Total Cost]]*22</f>
        <v>4400</v>
      </c>
      <c r="AF39" s="19">
        <f>24-Table2427245[[#This Row],[Total Work Hours in Decimals]]-Table2427245[[#This Row],[Total travel time (hr) in a month (22 days)]]/22</f>
        <v>7.5</v>
      </c>
      <c r="AG39" s="13"/>
    </row>
    <row r="40" spans="1:34" x14ac:dyDescent="0.25">
      <c r="A40" t="s">
        <v>110</v>
      </c>
      <c r="B40" t="s">
        <v>49</v>
      </c>
      <c r="C40" t="s">
        <v>50</v>
      </c>
      <c r="D40" t="s">
        <v>25</v>
      </c>
      <c r="E40" t="s">
        <v>29</v>
      </c>
      <c r="F40" t="s">
        <v>55</v>
      </c>
      <c r="G40" t="s">
        <v>56</v>
      </c>
      <c r="H40" t="s">
        <v>55</v>
      </c>
      <c r="I40" t="s">
        <v>68</v>
      </c>
      <c r="J40" s="21">
        <v>0.33333333333333331</v>
      </c>
      <c r="K40" s="14">
        <v>0.19791666666666666</v>
      </c>
      <c r="L40" s="14">
        <v>0.3125</v>
      </c>
      <c r="M40"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0.11458333333333334</v>
      </c>
      <c r="N40" s="34">
        <f>Table2427245[[#This Row],[Travel Time from Home to Work]]*24</f>
        <v>2.75</v>
      </c>
      <c r="O40">
        <v>140</v>
      </c>
      <c r="P40" s="21">
        <v>0.75</v>
      </c>
      <c r="Q40" s="44">
        <v>0.75</v>
      </c>
      <c r="R40" s="44">
        <v>0.875</v>
      </c>
      <c r="S40" s="41">
        <f>IF(Table2427245[[#This Row],[End of Work (time)]]&lt;Table2427245[[#This Row],[Start of Work (time)]],Table2427245[[#This Row],[End of Work (time)]]+24-Table2427245[[#This Row],[Start of Work (time)]],Table2427245[[#This Row],[End of Work (time)]]-Table2427245[[#This Row],[Start of Work (time)]])</f>
        <v>0.41666666666666669</v>
      </c>
      <c r="T40" s="79">
        <f>HOUR(Table2427245[[#This Row],[Total Work Hours]])+MINUTE(Table2427245[[#This Row],[Total Work Hours]])/60</f>
        <v>10</v>
      </c>
      <c r="U40"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0.125</v>
      </c>
      <c r="V40" s="78">
        <f>Table2427245[[#This Row],[Travel Time from Work to Home]]*24</f>
        <v>3</v>
      </c>
      <c r="W40">
        <v>150</v>
      </c>
      <c r="X40" s="15">
        <f>Table2427245[[#This Row],[Travel Time from Work to Home]]+Table2427245[[#This Row],[Travel Time from Home to Work]]</f>
        <v>0.23958333333333334</v>
      </c>
      <c r="Y40" s="16">
        <f>HOUR(Table2427245[[#This Row],[Total Travel Time]])+MINUTE(Table2427245[[#This Row],[Total Travel Time]])/60</f>
        <v>5.75</v>
      </c>
      <c r="Z40" s="17">
        <f>Table2427245[[#This Row],[Total travel time in hr]]/(Table2427245[[#This Row],[Total travel time in hr]]+HOUR(Table2427245[[#This Row],[Total Work Hours]])+MINUTE(Table2427245[[#This Row],[Total Work Hours]])/60)</f>
        <v>0.36507936507936506</v>
      </c>
      <c r="AA40" s="18">
        <f>Table2427245[[#This Row],[Total travel time in hr]]/24</f>
        <v>0.23958333333333334</v>
      </c>
      <c r="AB40" s="19">
        <f>Table2427245[[#This Row],[Total travel time in hr]]*22</f>
        <v>126.5</v>
      </c>
      <c r="AC40" s="19">
        <f>Table2427245[[#This Row],[Total travel time (hr) in a month (22 days)]]/24</f>
        <v>5.270833333333333</v>
      </c>
      <c r="AD40" s="47">
        <f>Table2427245[[#This Row],[Travel cost]]+Table2427245[[#This Row],[Travel cost ]]</f>
        <v>290</v>
      </c>
      <c r="AE40" s="47">
        <f>Table2427245[[#This Row],[Total Cost]]*22</f>
        <v>6380</v>
      </c>
      <c r="AF40" s="19">
        <f>24-Table2427245[[#This Row],[Total Work Hours in Decimals]]-Table2427245[[#This Row],[Total travel time (hr) in a month (22 days)]]/22</f>
        <v>8.25</v>
      </c>
      <c r="AG40" s="13"/>
    </row>
    <row r="41" spans="1:34" x14ac:dyDescent="0.25">
      <c r="A41" t="s">
        <v>86</v>
      </c>
      <c r="B41" t="s">
        <v>49</v>
      </c>
      <c r="C41" t="s">
        <v>53</v>
      </c>
      <c r="D41" t="s">
        <v>25</v>
      </c>
      <c r="E41" t="s">
        <v>29</v>
      </c>
      <c r="F41" t="s">
        <v>61</v>
      </c>
      <c r="G41"/>
      <c r="H41" t="s">
        <v>62</v>
      </c>
      <c r="I41"/>
      <c r="J41" s="21">
        <v>0.33333333333333331</v>
      </c>
      <c r="K41" s="14">
        <v>0.16666666666666666</v>
      </c>
      <c r="L41" s="14">
        <v>0.27083333333333331</v>
      </c>
      <c r="M41" s="29">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0.10416666666666666</v>
      </c>
      <c r="N41" s="34">
        <f>Table2427245[[#This Row],[Travel Time from Home to Work]]*24</f>
        <v>2.5</v>
      </c>
      <c r="O41">
        <v>100</v>
      </c>
      <c r="P41" s="21">
        <v>0.70833333333333337</v>
      </c>
      <c r="Q41" s="44">
        <v>0.70833333333333337</v>
      </c>
      <c r="R41" s="44">
        <v>0.875</v>
      </c>
      <c r="S41" s="41">
        <f>IF(Table2427245[[#This Row],[End of Work (time)]]&lt;Table2427245[[#This Row],[Start of Work (time)]],Table2427245[[#This Row],[End of Work (time)]]+24-Table2427245[[#This Row],[Start of Work (time)]],Table2427245[[#This Row],[End of Work (time)]]-Table2427245[[#This Row],[Start of Work (time)]])</f>
        <v>0.37500000000000006</v>
      </c>
      <c r="T41" s="79">
        <f>HOUR(Table2427245[[#This Row],[Total Work Hours]])+MINUTE(Table2427245[[#This Row],[Total Work Hours]])/60</f>
        <v>9</v>
      </c>
      <c r="U41" s="28">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0.16666666666666663</v>
      </c>
      <c r="V41" s="78">
        <f>Table2427245[[#This Row],[Travel Time from Work to Home]]*24</f>
        <v>3.9999999999999991</v>
      </c>
      <c r="W41">
        <v>100</v>
      </c>
      <c r="X41" s="15">
        <f>Table2427245[[#This Row],[Travel Time from Work to Home]]+Table2427245[[#This Row],[Travel Time from Home to Work]]</f>
        <v>0.27083333333333326</v>
      </c>
      <c r="Y41" s="16">
        <f>HOUR(Table2427245[[#This Row],[Total Travel Time]])+MINUTE(Table2427245[[#This Row],[Total Travel Time]])/60</f>
        <v>6.5</v>
      </c>
      <c r="Z41" s="17">
        <f>Table2427245[[#This Row],[Total travel time in hr]]/(Table2427245[[#This Row],[Total travel time in hr]]+HOUR(Table2427245[[#This Row],[Total Work Hours]])+MINUTE(Table2427245[[#This Row],[Total Work Hours]])/60)</f>
        <v>0.41935483870967744</v>
      </c>
      <c r="AA41" s="18">
        <f>Table2427245[[#This Row],[Total travel time in hr]]/24</f>
        <v>0.27083333333333331</v>
      </c>
      <c r="AB41" s="19">
        <f>Table2427245[[#This Row],[Total travel time in hr]]*22</f>
        <v>143</v>
      </c>
      <c r="AC41" s="19">
        <f>Table2427245[[#This Row],[Total travel time (hr) in a month (22 days)]]/24</f>
        <v>5.958333333333333</v>
      </c>
      <c r="AD41" s="47">
        <f>Table2427245[[#This Row],[Travel cost]]+Table2427245[[#This Row],[Travel cost ]]</f>
        <v>200</v>
      </c>
      <c r="AE41" s="47">
        <f>Table2427245[[#This Row],[Total Cost]]*22</f>
        <v>4400</v>
      </c>
      <c r="AF41" s="19">
        <f>24-Table2427245[[#This Row],[Total Work Hours in Decimals]]-Table2427245[[#This Row],[Total travel time (hr) in a month (22 days)]]/22</f>
        <v>8.5</v>
      </c>
      <c r="AG41" s="13"/>
    </row>
    <row r="42" spans="1:34" x14ac:dyDescent="0.25">
      <c r="A42" s="31"/>
      <c r="B42" s="31"/>
      <c r="C42" s="31"/>
      <c r="D42" s="31"/>
      <c r="E42" s="31"/>
      <c r="F42" s="31"/>
      <c r="G42" s="31"/>
      <c r="H42" s="31"/>
      <c r="I42" s="31"/>
      <c r="J42" s="32"/>
      <c r="K42" s="33"/>
      <c r="L42" s="33"/>
      <c r="M42" s="29"/>
      <c r="N42" s="29"/>
      <c r="O42" s="31"/>
      <c r="P42" s="32"/>
      <c r="Q42" s="46"/>
      <c r="R42" s="46"/>
      <c r="S42" s="42"/>
      <c r="T42" s="81"/>
      <c r="U42" s="30"/>
      <c r="V42" s="30"/>
      <c r="W42" s="31"/>
      <c r="X42" s="29"/>
      <c r="Y42" s="34"/>
      <c r="Z42" s="35"/>
      <c r="AA42" s="36"/>
      <c r="AB42" s="36"/>
      <c r="AD42" s="36"/>
      <c r="AE42" s="36"/>
      <c r="AF42" s="48"/>
      <c r="AG42" s="36"/>
      <c r="AH42" s="48"/>
    </row>
    <row r="43" spans="1:34" s="39" customFormat="1" x14ac:dyDescent="0.25">
      <c r="A43" s="13" t="s">
        <v>135</v>
      </c>
      <c r="B43" s="13"/>
      <c r="C43" s="13"/>
      <c r="D43" s="13"/>
      <c r="E43" s="13"/>
      <c r="F43" s="13"/>
      <c r="G43" s="13"/>
      <c r="H43" s="13"/>
      <c r="I43" s="13"/>
      <c r="J43" s="13"/>
      <c r="K43" s="13"/>
      <c r="L43" s="13"/>
      <c r="M43" s="13"/>
      <c r="N43" s="13"/>
      <c r="O43" s="13"/>
      <c r="P43" s="13"/>
      <c r="Q43" s="43"/>
      <c r="R43" s="43"/>
      <c r="S43" s="43"/>
      <c r="T43" s="24">
        <f>AVERAGE(Table2427245[Total Work Hours in Decimals])</f>
        <v>9.5062499999999996</v>
      </c>
      <c r="U43" s="13"/>
      <c r="V43" s="13"/>
      <c r="W43" s="16"/>
      <c r="X43" s="23">
        <f>AVERAGE(Table2427245[Total Travel Time])</f>
        <v>0.10996527777777776</v>
      </c>
      <c r="Y43" s="24">
        <f>AVERAGE(Table2427245[Total travel time in hr])</f>
        <v>2.6391666666666667</v>
      </c>
      <c r="Z43" s="25">
        <f>AVERAGE(Table2427245[% of commute / (work + commute)])</f>
        <v>0.207856306237275</v>
      </c>
      <c r="AA43" s="25">
        <f>AVERAGE(Table2427245[% of commute / day])</f>
        <v>0.10996527777777776</v>
      </c>
      <c r="AB43" s="26">
        <f>AVERAGE(Table2427245[Total travel time (hr) in a month (22 days)])</f>
        <v>58.061666666666667</v>
      </c>
      <c r="AC43" s="26">
        <f>AVERAGE(Table2427245[In days])</f>
        <v>2.4192361111111107</v>
      </c>
      <c r="AD43" s="49">
        <f>AVERAGE(Table2427245[Total Cost])</f>
        <v>91.75</v>
      </c>
      <c r="AE43" s="49">
        <f>AVERAGE(Table2427245[Total Cost in a month (22 days)])</f>
        <v>2018.5</v>
      </c>
      <c r="AF43" s="24">
        <f>AVERAGE(Table2427245[The rest of the day])</f>
        <v>11.854583333333334</v>
      </c>
      <c r="AG43" s="34"/>
      <c r="AH43" s="82"/>
    </row>
    <row r="44" spans="1:34" s="39" customFormat="1" x14ac:dyDescent="0.25">
      <c r="A44" s="13"/>
      <c r="B44" s="13"/>
      <c r="C44" s="13"/>
      <c r="D44" s="13"/>
      <c r="E44" s="13"/>
      <c r="F44" s="13"/>
      <c r="G44" s="13"/>
      <c r="H44" s="13"/>
      <c r="I44" s="13"/>
      <c r="J44" s="13"/>
      <c r="K44" s="13"/>
      <c r="L44" s="13"/>
      <c r="M44" s="13"/>
      <c r="N44" s="13"/>
      <c r="O44" s="13"/>
      <c r="P44" s="13"/>
      <c r="Q44" s="43"/>
      <c r="R44" s="43"/>
      <c r="S44" s="43"/>
      <c r="T44" s="79"/>
      <c r="U44" s="13"/>
      <c r="V44" s="13"/>
      <c r="W44" s="13"/>
      <c r="X44" s="13"/>
      <c r="Y44" s="13"/>
      <c r="Z44" s="13"/>
      <c r="AA44" s="17"/>
      <c r="AB44" s="17"/>
      <c r="AD44" s="17"/>
      <c r="AE44" s="16"/>
      <c r="AF44" s="13"/>
      <c r="AG44" s="16"/>
      <c r="AH44" s="13"/>
    </row>
  </sheetData>
  <conditionalFormatting sqref="O2:O41 W2:W41">
    <cfRule type="cellIs" dxfId="60" priority="6" operator="lessThanOrEqual">
      <formula>50</formula>
    </cfRule>
    <cfRule type="cellIs" dxfId="59" priority="7" operator="greaterThanOrEqual">
      <formula>100</formula>
    </cfRule>
  </conditionalFormatting>
  <conditionalFormatting sqref="P2:Q41">
    <cfRule type="cellIs" dxfId="58" priority="4" operator="lessThanOrEqual">
      <formula>0.25</formula>
    </cfRule>
    <cfRule type="cellIs" dxfId="57" priority="5" operator="greaterThanOrEqual">
      <formula>0.91666666667</formula>
    </cfRule>
  </conditionalFormatting>
  <conditionalFormatting sqref="AF2:AF41">
    <cfRule type="cellIs" dxfId="56" priority="3" operator="lessThanOrEqual">
      <formula>12</formula>
    </cfRule>
  </conditionalFormatting>
  <conditionalFormatting sqref="AB2:AB41">
    <cfRule type="top10" dxfId="55" priority="685" rank="10"/>
  </conditionalFormatting>
  <conditionalFormatting sqref="AC2:AC41">
    <cfRule type="top10" dxfId="54" priority="687" rank="10"/>
  </conditionalFormatting>
  <conditionalFormatting sqref="AD2:AD41">
    <cfRule type="top10" dxfId="53" priority="689" percent="1" rank="10"/>
  </conditionalFormatting>
  <conditionalFormatting sqref="AE2:AE41">
    <cfRule type="top10" dxfId="52" priority="691" percent="1" rank="10"/>
  </conditionalFormatting>
  <conditionalFormatting sqref="U2:U41">
    <cfRule type="top10" dxfId="51" priority="693" bottom="1" rank="5"/>
    <cfRule type="top10" dxfId="50" priority="694" rank="5"/>
    <cfRule type="iconSet" priority="695">
      <iconSet iconSet="3Symbols2" reverse="1">
        <cfvo type="percent" val="0"/>
        <cfvo type="percent" val="33"/>
        <cfvo type="percent" val="67"/>
      </iconSet>
    </cfRule>
  </conditionalFormatting>
  <conditionalFormatting sqref="M2:M41">
    <cfRule type="top10" dxfId="49" priority="699" rank="10"/>
    <cfRule type="iconSet" priority="700">
      <iconSet iconSet="3Symbols2" reverse="1">
        <cfvo type="percent" val="0"/>
        <cfvo type="percent" val="33"/>
        <cfvo type="percent" val="67"/>
      </iconSet>
    </cfRule>
    <cfRule type="top10" dxfId="48" priority="701" bottom="1" rank="5"/>
  </conditionalFormatting>
  <conditionalFormatting sqref="X2:X41">
    <cfRule type="aboveAverage" dxfId="47" priority="705" aboveAverage="0"/>
    <cfRule type="aboveAverage" dxfId="46" priority="706"/>
  </conditionalFormatting>
  <conditionalFormatting sqref="Y2:Y41">
    <cfRule type="aboveAverage" dxfId="45" priority="2"/>
    <cfRule type="aboveAverage" dxfId="44" priority="1" aboveAverage="0"/>
  </conditionalFormatting>
  <dataValidations count="8">
    <dataValidation showErrorMessage="1" promptTitle="Travel Cost" prompt="Enter the cost only" sqref="Q13:R13 P1 P3:P42 X2:Z42" xr:uid="{118F049B-54C0-4167-9F14-D0EEE34FB031}"/>
    <dataValidation showInputMessage="1" showErrorMessage="1" sqref="C1 G1:G42 I1:I42" xr:uid="{C1F8C31C-BE07-4237-9A8F-85BF56D163A2}"/>
    <dataValidation type="list" showInputMessage="1" showErrorMessage="1" sqref="B2:B42" xr:uid="{58BC80F8-EC3A-4CCF-9960-91A9CBAFE9F2}">
      <formula1>"15-20, 21-25, 26-30, 31-35, 36-40, 41-50, 51-60, 61-65"</formula1>
    </dataValidation>
    <dataValidation type="list" showInputMessage="1" showErrorMessage="1" sqref="H2:H42 F2:F42" xr:uid="{B5E36284-8A9A-43B4-BE57-D43C93B52140}">
      <formula1>"Caloocan,  Las Piñas,  Makati,  Malabon,  Mandaluyong,  Manila,  Marikina,  Muntinlupa,  Navotas,  Parañaque,  Pasay,  Pasig,  Pateros,  Quezon City,  San Juan,  Taguig,  Valenzuela, Others"</formula1>
    </dataValidation>
    <dataValidation type="list" showInputMessage="1" showErrorMessage="1" sqref="E2:E42" xr:uid="{CCC5184A-D1B9-430A-A9FB-BD0FE50C8E4A}">
      <formula1>"Unemployed, Probationary, Regular Employee, Fixed Term/Contractual"</formula1>
    </dataValidation>
    <dataValidation type="decimal" showInputMessage="1" showErrorMessage="1" promptTitle="Travel Cost" prompt="Enter the cost only" sqref="O2:O42 W2:W42" xr:uid="{6F643045-E015-45FA-BF87-B796F05C6195}">
      <formula1>0</formula1>
      <formula2>9999</formula2>
    </dataValidation>
    <dataValidation type="list" showInputMessage="1" showErrorMessage="1" sqref="D2:D42" xr:uid="{339C0D24-8699-43AB-ACA0-1EFCCF013D72}">
      <formula1>"Single, Married, Widowed, Separated, Divorced"</formula1>
    </dataValidation>
    <dataValidation type="list" showInputMessage="1" showErrorMessage="1" sqref="C2:C42" xr:uid="{CD9D0E5C-E724-4CF3-AF25-7713E4791975}">
      <formula1>"Male, Female, Prefer Not to Say"</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5B450-F0F6-40CE-BC19-F554F98F185D}">
  <sheetPr>
    <tabColor theme="8" tint="-0.499984740745262"/>
  </sheetPr>
  <dimension ref="C22:D25"/>
  <sheetViews>
    <sheetView tabSelected="1" workbookViewId="0">
      <selection activeCell="D26" sqref="D26"/>
    </sheetView>
  </sheetViews>
  <sheetFormatPr defaultRowHeight="15" x14ac:dyDescent="0.25"/>
  <sheetData>
    <row r="22" spans="3:4" x14ac:dyDescent="0.25">
      <c r="C22" t="s">
        <v>146</v>
      </c>
    </row>
    <row r="24" spans="3:4" x14ac:dyDescent="0.25">
      <c r="C24" t="s">
        <v>147</v>
      </c>
    </row>
    <row r="25" spans="3:4" x14ac:dyDescent="0.25">
      <c r="D25" t="s">
        <v>148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450BA-C742-470C-A6F6-8912CAAC2961}">
  <sheetPr>
    <tabColor theme="8" tint="-0.499984740745262"/>
  </sheetPr>
  <dimension ref="A1"/>
  <sheetViews>
    <sheetView topLeftCell="A16" workbookViewId="0">
      <selection activeCell="H28" sqref="H28"/>
    </sheetView>
  </sheetViews>
  <sheetFormatPr defaultRowHeight="15" x14ac:dyDescent="0.25"/>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A30BA-AD39-4678-8CCC-3860E22014A0}">
  <dimension ref="A1:P43"/>
  <sheetViews>
    <sheetView workbookViewId="0">
      <selection sqref="A1:XFD42"/>
    </sheetView>
  </sheetViews>
  <sheetFormatPr defaultRowHeight="15" x14ac:dyDescent="0.25"/>
  <cols>
    <col min="1" max="1" width="13.140625" bestFit="1" customWidth="1"/>
    <col min="3" max="3" width="13.140625" bestFit="1" customWidth="1"/>
    <col min="5" max="5" width="9.140625" style="54"/>
    <col min="6" max="6" width="12.5703125" style="54" customWidth="1"/>
    <col min="7" max="10" width="9.140625" style="54"/>
    <col min="11" max="11" width="11.85546875" style="56" customWidth="1"/>
    <col min="12" max="12" width="11.7109375" style="56" customWidth="1"/>
  </cols>
  <sheetData>
    <row r="1" spans="1:16" s="54" customFormat="1" ht="60" x14ac:dyDescent="0.25">
      <c r="A1" s="75" t="s">
        <v>3</v>
      </c>
      <c r="B1" s="75" t="s">
        <v>74</v>
      </c>
      <c r="C1" s="75" t="s">
        <v>47</v>
      </c>
      <c r="D1" s="75" t="s">
        <v>75</v>
      </c>
      <c r="E1" s="76" t="s">
        <v>23</v>
      </c>
      <c r="F1" s="75" t="s">
        <v>20</v>
      </c>
      <c r="G1" s="75" t="s">
        <v>48</v>
      </c>
      <c r="H1" s="77" t="s">
        <v>124</v>
      </c>
      <c r="I1" s="75" t="s">
        <v>18</v>
      </c>
      <c r="J1" s="76" t="s">
        <v>24</v>
      </c>
      <c r="K1" s="73" t="s">
        <v>21</v>
      </c>
      <c r="L1" s="73" t="s">
        <v>22</v>
      </c>
      <c r="M1" s="73" t="s">
        <v>136</v>
      </c>
      <c r="N1" s="74" t="s">
        <v>125</v>
      </c>
      <c r="O1" s="74" t="s">
        <v>19</v>
      </c>
      <c r="P1" s="74" t="s">
        <v>126</v>
      </c>
    </row>
    <row r="2" spans="1:16" x14ac:dyDescent="0.25">
      <c r="A2" s="50" t="s">
        <v>60</v>
      </c>
      <c r="B2" s="50"/>
      <c r="C2" s="50" t="s">
        <v>54</v>
      </c>
      <c r="D2" s="50"/>
      <c r="E2" s="59">
        <v>0.58333333333333337</v>
      </c>
      <c r="F2" s="67">
        <v>0.54166666666666663</v>
      </c>
      <c r="G2" s="67">
        <v>0.58333333333333337</v>
      </c>
      <c r="H2"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1.0416666666666685E-2</v>
      </c>
      <c r="I2" s="50">
        <v>49</v>
      </c>
      <c r="J2" s="59">
        <v>0</v>
      </c>
      <c r="K2" s="60">
        <v>0</v>
      </c>
      <c r="L2" s="60">
        <v>1.0416666666666666E-2</v>
      </c>
      <c r="M2" s="61">
        <f>IF(Table2427245[[#This Row],[End of Work (time)]]&lt;Table2427245[[#This Row],[Start of Work (time)]],Table2427245[[#This Row],[End of Work (time)]]+24-Table2427245[[#This Row],[Start of Work (time)]],Table2427245[[#This Row],[End of Work (time)]]-Table2427245[[#This Row],[Start of Work (time)]])</f>
        <v>0.38541666666666663</v>
      </c>
      <c r="N2"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1.0416666666666741E-2</v>
      </c>
      <c r="O2" s="50">
        <v>0</v>
      </c>
      <c r="P2" s="58">
        <f>Table2427245[[#This Row],[Travel Time from Work to Home]]+Table2427245[[#This Row],[Travel Time from Home to Work]]</f>
        <v>2.0833333333333426E-2</v>
      </c>
    </row>
    <row r="3" spans="1:16" x14ac:dyDescent="0.25">
      <c r="A3" s="50" t="s">
        <v>59</v>
      </c>
      <c r="B3" s="50"/>
      <c r="C3" s="50" t="s">
        <v>60</v>
      </c>
      <c r="D3" s="50"/>
      <c r="E3" s="59">
        <v>0.47916666666666669</v>
      </c>
      <c r="F3" s="67">
        <v>0.45833333333333331</v>
      </c>
      <c r="G3" s="67">
        <v>0.47916666666666669</v>
      </c>
      <c r="H3"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1.0416666666666685E-2</v>
      </c>
      <c r="I3" s="50">
        <v>0</v>
      </c>
      <c r="J3" s="59">
        <v>0.85416666666666663</v>
      </c>
      <c r="K3" s="60">
        <v>0.85416666666666663</v>
      </c>
      <c r="L3" s="60">
        <v>0.90625</v>
      </c>
      <c r="M3" s="61">
        <f>IF(Table2427245[[#This Row],[End of Work (time)]]&lt;Table2427245[[#This Row],[Start of Work (time)]],Table2427245[[#This Row],[End of Work (time)]]+24-Table2427245[[#This Row],[Start of Work (time)]],Table2427245[[#This Row],[End of Work (time)]]-Table2427245[[#This Row],[Start of Work (time)]])</f>
        <v>0.44791666666666669</v>
      </c>
      <c r="N3"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2.0833333333333259E-2</v>
      </c>
      <c r="O3" s="50">
        <v>20</v>
      </c>
      <c r="P3" s="58">
        <f>Table2427245[[#This Row],[Travel Time from Work to Home]]+Table2427245[[#This Row],[Travel Time from Home to Work]]</f>
        <v>3.1249999999999944E-2</v>
      </c>
    </row>
    <row r="4" spans="1:16" x14ac:dyDescent="0.25">
      <c r="A4" s="50" t="s">
        <v>59</v>
      </c>
      <c r="B4" s="50"/>
      <c r="C4" s="50" t="s">
        <v>60</v>
      </c>
      <c r="D4" s="50"/>
      <c r="E4" s="59">
        <v>0.47916666666666669</v>
      </c>
      <c r="F4" s="67">
        <v>0.45833333333333331</v>
      </c>
      <c r="G4" s="67">
        <v>0.47916666666666669</v>
      </c>
      <c r="H4"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2.083333333333337E-2</v>
      </c>
      <c r="I4" s="50">
        <v>0</v>
      </c>
      <c r="J4" s="59">
        <v>0.85416666666666663</v>
      </c>
      <c r="K4" s="60">
        <v>0.85416666666666663</v>
      </c>
      <c r="L4" s="60">
        <v>0.90625</v>
      </c>
      <c r="M4" s="61">
        <f>IF(Table2427245[[#This Row],[End of Work (time)]]&lt;Table2427245[[#This Row],[Start of Work (time)]],Table2427245[[#This Row],[End of Work (time)]]+24-Table2427245[[#This Row],[Start of Work (time)]],Table2427245[[#This Row],[End of Work (time)]]-Table2427245[[#This Row],[Start of Work (time)]])</f>
        <v>0.39583333333333331</v>
      </c>
      <c r="N4"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2.0833333333333259E-2</v>
      </c>
      <c r="O4" s="50">
        <v>20</v>
      </c>
      <c r="P4" s="58">
        <f>Table2427245[[#This Row],[Travel Time from Work to Home]]+Table2427245[[#This Row],[Travel Time from Home to Work]]</f>
        <v>4.166666666666663E-2</v>
      </c>
    </row>
    <row r="5" spans="1:16" x14ac:dyDescent="0.25">
      <c r="A5" s="50" t="s">
        <v>61</v>
      </c>
      <c r="B5" s="50"/>
      <c r="C5" s="50" t="s">
        <v>52</v>
      </c>
      <c r="D5" s="50"/>
      <c r="E5" s="59">
        <v>0.41666666666666669</v>
      </c>
      <c r="F5" s="67">
        <v>0.29166666666666669</v>
      </c>
      <c r="G5" s="67">
        <v>0.39583333333333331</v>
      </c>
      <c r="H5"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2.083333333333337E-2</v>
      </c>
      <c r="I5" s="50">
        <v>60</v>
      </c>
      <c r="J5" s="59">
        <v>0.875</v>
      </c>
      <c r="K5" s="60">
        <v>0.875</v>
      </c>
      <c r="L5" s="60">
        <v>0.9375</v>
      </c>
      <c r="M5" s="61">
        <f>IF(Table2427245[[#This Row],[End of Work (time)]]&lt;Table2427245[[#This Row],[Start of Work (time)]],Table2427245[[#This Row],[End of Work (time)]]+24-Table2427245[[#This Row],[Start of Work (time)]],Table2427245[[#This Row],[End of Work (time)]]-Table2427245[[#This Row],[Start of Work (time)]])</f>
        <v>23.4375</v>
      </c>
      <c r="N5"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2.0833333333333332E-2</v>
      </c>
      <c r="O5" s="50">
        <v>60</v>
      </c>
      <c r="P5" s="58">
        <f>Table2427245[[#This Row],[Travel Time from Work to Home]]+Table2427245[[#This Row],[Travel Time from Home to Work]]</f>
        <v>4.1666666666666699E-2</v>
      </c>
    </row>
    <row r="6" spans="1:16" x14ac:dyDescent="0.25">
      <c r="A6" s="50" t="s">
        <v>59</v>
      </c>
      <c r="B6" s="50"/>
      <c r="C6" s="50" t="s">
        <v>62</v>
      </c>
      <c r="D6" s="50"/>
      <c r="E6" s="59">
        <v>0.58333333333333337</v>
      </c>
      <c r="F6" s="67">
        <v>0.5</v>
      </c>
      <c r="G6" s="67">
        <v>0.58333333333333337</v>
      </c>
      <c r="H6"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2.430555555555558E-2</v>
      </c>
      <c r="I6" s="50">
        <v>55</v>
      </c>
      <c r="J6" s="59">
        <v>2.0833333333333332E-2</v>
      </c>
      <c r="K6" s="60">
        <v>4.1666666666666664E-2</v>
      </c>
      <c r="L6" s="60">
        <v>6.25E-2</v>
      </c>
      <c r="M6" s="61">
        <f>IF(Table2427245[[#This Row],[End of Work (time)]]&lt;Table2427245[[#This Row],[Start of Work (time)]],Table2427245[[#This Row],[End of Work (time)]]+24-Table2427245[[#This Row],[Start of Work (time)]],Table2427245[[#This Row],[End of Work (time)]]-Table2427245[[#This Row],[Start of Work (time)]])</f>
        <v>0.38541666666666663</v>
      </c>
      <c r="N6"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2.083333333333337E-2</v>
      </c>
      <c r="O6" s="50">
        <v>0</v>
      </c>
      <c r="P6" s="58">
        <f>Table2427245[[#This Row],[Travel Time from Work to Home]]+Table2427245[[#This Row],[Travel Time from Home to Work]]</f>
        <v>4.5138888888888951E-2</v>
      </c>
    </row>
    <row r="7" spans="1:16" x14ac:dyDescent="0.25">
      <c r="A7" s="50" t="s">
        <v>62</v>
      </c>
      <c r="B7" s="50"/>
      <c r="C7" s="50" t="s">
        <v>54</v>
      </c>
      <c r="D7" s="50"/>
      <c r="E7" s="59">
        <v>0.375</v>
      </c>
      <c r="F7" s="67">
        <v>0.20833333333333334</v>
      </c>
      <c r="G7" s="67">
        <v>0.3125</v>
      </c>
      <c r="H7"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1.3888888888888895E-2</v>
      </c>
      <c r="I7" s="50">
        <v>100</v>
      </c>
      <c r="J7" s="59">
        <v>0.83333333333333337</v>
      </c>
      <c r="K7" s="60">
        <v>0.83333333333333337</v>
      </c>
      <c r="L7" s="60">
        <v>0.95833333333333337</v>
      </c>
      <c r="M7" s="61">
        <f>IF(Table2427245[[#This Row],[End of Work (time)]]&lt;Table2427245[[#This Row],[Start of Work (time)]],Table2427245[[#This Row],[End of Work (time)]]+24-Table2427245[[#This Row],[Start of Work (time)]],Table2427245[[#This Row],[End of Work (time)]]-Table2427245[[#This Row],[Start of Work (time)]])</f>
        <v>0.31249999999999994</v>
      </c>
      <c r="N7"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3.472222222222221E-2</v>
      </c>
      <c r="O7" s="50">
        <v>100</v>
      </c>
      <c r="P7" s="58">
        <f>Table2427245[[#This Row],[Travel Time from Work to Home]]+Table2427245[[#This Row],[Travel Time from Home to Work]]</f>
        <v>4.8611111111111105E-2</v>
      </c>
    </row>
    <row r="8" spans="1:16" x14ac:dyDescent="0.25">
      <c r="A8" s="50" t="s">
        <v>59</v>
      </c>
      <c r="B8" s="50"/>
      <c r="C8" s="50" t="s">
        <v>61</v>
      </c>
      <c r="D8" s="50"/>
      <c r="E8" s="59">
        <v>0.27083333333333331</v>
      </c>
      <c r="F8" s="67">
        <v>0.20833333333333334</v>
      </c>
      <c r="G8" s="67">
        <v>0.27083333333333331</v>
      </c>
      <c r="H8"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4.166666666666663E-2</v>
      </c>
      <c r="I8" s="50">
        <v>80</v>
      </c>
      <c r="J8" s="59">
        <v>0.60416666666666663</v>
      </c>
      <c r="K8" s="60">
        <v>0.60416666666666663</v>
      </c>
      <c r="L8" s="60">
        <v>0.75</v>
      </c>
      <c r="M8" s="61">
        <f>IF(Table2427245[[#This Row],[End of Work (time)]]&lt;Table2427245[[#This Row],[Start of Work (time)]],Table2427245[[#This Row],[End of Work (time)]]+24-Table2427245[[#This Row],[Start of Work (time)]],Table2427245[[#This Row],[End of Work (time)]]-Table2427245[[#This Row],[Start of Work (time)]])</f>
        <v>0.45833333333333337</v>
      </c>
      <c r="N8"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1.0416666666666666E-2</v>
      </c>
      <c r="O8" s="50">
        <v>80</v>
      </c>
      <c r="P8" s="58">
        <f>Table2427245[[#This Row],[Travel Time from Work to Home]]+Table2427245[[#This Row],[Travel Time from Home to Work]]</f>
        <v>5.2083333333333294E-2</v>
      </c>
    </row>
    <row r="9" spans="1:16" x14ac:dyDescent="0.25">
      <c r="A9" s="50" t="s">
        <v>52</v>
      </c>
      <c r="B9" s="50"/>
      <c r="C9" s="50" t="s">
        <v>52</v>
      </c>
      <c r="D9" s="50"/>
      <c r="E9" s="59">
        <v>0.41666666666666669</v>
      </c>
      <c r="F9" s="67">
        <v>0.39583333333333331</v>
      </c>
      <c r="G9" s="67">
        <v>0.41666666666666669</v>
      </c>
      <c r="H9"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3.125E-2</v>
      </c>
      <c r="I9" s="50">
        <v>9</v>
      </c>
      <c r="J9" s="59">
        <v>0.77083333333333337</v>
      </c>
      <c r="K9" s="60">
        <v>0.77083333333333337</v>
      </c>
      <c r="L9" s="60">
        <v>0.83333333333333337</v>
      </c>
      <c r="M9" s="61">
        <f>IF(Table2427245[[#This Row],[End of Work (time)]]&lt;Table2427245[[#This Row],[Start of Work (time)]],Table2427245[[#This Row],[End of Work (time)]]+24-Table2427245[[#This Row],[Start of Work (time)]],Table2427245[[#This Row],[End of Work (time)]]-Table2427245[[#This Row],[Start of Work (time)]])</f>
        <v>23.4375</v>
      </c>
      <c r="N9"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2.0833333333333332E-2</v>
      </c>
      <c r="O9" s="50">
        <v>18</v>
      </c>
      <c r="P9" s="58">
        <f>Table2427245[[#This Row],[Travel Time from Work to Home]]+Table2427245[[#This Row],[Travel Time from Home to Work]]</f>
        <v>5.2083333333333329E-2</v>
      </c>
    </row>
    <row r="10" spans="1:16" x14ac:dyDescent="0.25">
      <c r="A10" s="68" t="s">
        <v>51</v>
      </c>
      <c r="B10" s="68"/>
      <c r="C10" s="68" t="s">
        <v>52</v>
      </c>
      <c r="D10" s="68"/>
      <c r="E10" s="67">
        <v>0.875</v>
      </c>
      <c r="F10" s="67">
        <v>0.875</v>
      </c>
      <c r="G10" s="67">
        <v>0.91666666666666663</v>
      </c>
      <c r="H10" s="62">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4.1666666666666741E-2</v>
      </c>
      <c r="I10" s="68">
        <v>50</v>
      </c>
      <c r="J10" s="67">
        <v>0.25</v>
      </c>
      <c r="K10" s="60">
        <v>0.25</v>
      </c>
      <c r="L10" s="60">
        <v>0.30555555555555552</v>
      </c>
      <c r="M10" s="69">
        <f>IF(Table2427245[[#This Row],[End of Work (time)]]&lt;Table2427245[[#This Row],[Start of Work (time)]],Table2427245[[#This Row],[End of Work (time)]]+24-Table2427245[[#This Row],[Start of Work (time)]],Table2427245[[#This Row],[End of Work (time)]]-Table2427245[[#This Row],[Start of Work (time)]])</f>
        <v>23.416666666666668</v>
      </c>
      <c r="N10"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1.0416666666666666E-2</v>
      </c>
      <c r="O10" s="50">
        <v>50</v>
      </c>
      <c r="P10" s="58">
        <f>Table2427245[[#This Row],[Travel Time from Work to Home]]+Table2427245[[#This Row],[Travel Time from Home to Work]]</f>
        <v>5.2083333333333405E-2</v>
      </c>
    </row>
    <row r="11" spans="1:16" x14ac:dyDescent="0.25">
      <c r="A11" s="50" t="s">
        <v>52</v>
      </c>
      <c r="B11" s="50"/>
      <c r="C11" s="50" t="s">
        <v>54</v>
      </c>
      <c r="D11" s="50"/>
      <c r="E11" s="59">
        <v>0.5</v>
      </c>
      <c r="F11" s="67">
        <v>0.46875</v>
      </c>
      <c r="G11" s="67">
        <v>0.5</v>
      </c>
      <c r="H11"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2.0833333333333315E-2</v>
      </c>
      <c r="I11" s="50">
        <v>20</v>
      </c>
      <c r="J11" s="59">
        <v>0.83333333333333337</v>
      </c>
      <c r="K11" s="60">
        <v>0.83333333333333337</v>
      </c>
      <c r="L11" s="60">
        <v>0.875</v>
      </c>
      <c r="M11" s="61">
        <f>IF(Table2427245[[#This Row],[End of Work (time)]]&lt;Table2427245[[#This Row],[Start of Work (time)]],Table2427245[[#This Row],[End of Work (time)]]+24-Table2427245[[#This Row],[Start of Work (time)]],Table2427245[[#This Row],[End of Work (time)]]-Table2427245[[#This Row],[Start of Work (time)]])</f>
        <v>0.33333333333333337</v>
      </c>
      <c r="N11"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4.166666666666663E-2</v>
      </c>
      <c r="O11" s="50">
        <v>20</v>
      </c>
      <c r="P11" s="58">
        <f>Table2427245[[#This Row],[Travel Time from Work to Home]]+Table2427245[[#This Row],[Travel Time from Home to Work]]</f>
        <v>6.2499999999999944E-2</v>
      </c>
    </row>
    <row r="12" spans="1:16" x14ac:dyDescent="0.25">
      <c r="A12" s="50" t="s">
        <v>55</v>
      </c>
      <c r="B12" s="50" t="s">
        <v>58</v>
      </c>
      <c r="C12" s="50" t="s">
        <v>55</v>
      </c>
      <c r="D12" s="50" t="s">
        <v>58</v>
      </c>
      <c r="E12" s="59">
        <v>0.3125</v>
      </c>
      <c r="F12" s="67">
        <v>0.2986111111111111</v>
      </c>
      <c r="G12" s="67">
        <v>0.30902777777777779</v>
      </c>
      <c r="H12"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4.166666666666663E-2</v>
      </c>
      <c r="I12" s="50">
        <v>30</v>
      </c>
      <c r="J12" s="59">
        <v>0.69791666666666663</v>
      </c>
      <c r="K12" s="60">
        <v>0.69791666666666663</v>
      </c>
      <c r="L12" s="60">
        <v>0.70833333333333337</v>
      </c>
      <c r="M12" s="61">
        <f>IF(Table2427245[[#This Row],[End of Work (time)]]&lt;Table2427245[[#This Row],[Start of Work (time)]],Table2427245[[#This Row],[End of Work (time)]]+24-Table2427245[[#This Row],[Start of Work (time)]],Table2427245[[#This Row],[End of Work (time)]]-Table2427245[[#This Row],[Start of Work (time)]])</f>
        <v>23.4375</v>
      </c>
      <c r="N12"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2.0833333333333332E-2</v>
      </c>
      <c r="O12" s="50">
        <v>30</v>
      </c>
      <c r="P12" s="58">
        <f>Table2427245[[#This Row],[Travel Time from Work to Home]]+Table2427245[[#This Row],[Travel Time from Home to Work]]</f>
        <v>6.2499999999999958E-2</v>
      </c>
    </row>
    <row r="13" spans="1:16" x14ac:dyDescent="0.25">
      <c r="A13" s="50" t="s">
        <v>63</v>
      </c>
      <c r="B13" s="50"/>
      <c r="C13" s="50" t="s">
        <v>54</v>
      </c>
      <c r="D13" s="50"/>
      <c r="E13" s="59">
        <v>0.58333333333333337</v>
      </c>
      <c r="F13" s="67">
        <v>0.54166666666666663</v>
      </c>
      <c r="G13" s="67">
        <v>0.57291666666666663</v>
      </c>
      <c r="H13"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3.125E-2</v>
      </c>
      <c r="I13" s="50">
        <v>43</v>
      </c>
      <c r="J13" s="59">
        <v>2.0833333333333332E-2</v>
      </c>
      <c r="K13" s="60">
        <v>2.0833333333333332E-2</v>
      </c>
      <c r="L13" s="60">
        <v>4.1666666666666664E-2</v>
      </c>
      <c r="M13" s="61">
        <f>IF(Table2427245[[#This Row],[End of Work (time)]]&lt;Table2427245[[#This Row],[Start of Work (time)]],Table2427245[[#This Row],[End of Work (time)]]+24-Table2427245[[#This Row],[Start of Work (time)]],Table2427245[[#This Row],[End of Work (time)]]-Table2427245[[#This Row],[Start of Work (time)]])</f>
        <v>0.33333333333333337</v>
      </c>
      <c r="N13"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4.166666666666663E-2</v>
      </c>
      <c r="O13" s="50">
        <v>0</v>
      </c>
      <c r="P13" s="58">
        <f>Table2427245[[#This Row],[Travel Time from Work to Home]]+Table2427245[[#This Row],[Travel Time from Home to Work]]</f>
        <v>7.291666666666663E-2</v>
      </c>
    </row>
    <row r="14" spans="1:16" x14ac:dyDescent="0.25">
      <c r="A14" s="50" t="s">
        <v>55</v>
      </c>
      <c r="B14" s="50" t="s">
        <v>58</v>
      </c>
      <c r="C14" s="50" t="s">
        <v>61</v>
      </c>
      <c r="D14" s="50"/>
      <c r="E14" s="59">
        <v>0.25</v>
      </c>
      <c r="F14" s="67">
        <v>0.19791666666666666</v>
      </c>
      <c r="G14" s="67">
        <v>0.22916666666666666</v>
      </c>
      <c r="H14"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3.125E-2</v>
      </c>
      <c r="I14" s="50">
        <v>50</v>
      </c>
      <c r="J14" s="59">
        <v>0.58333333333333337</v>
      </c>
      <c r="K14" s="60">
        <v>0.58333333333333337</v>
      </c>
      <c r="L14" s="60">
        <v>0.625</v>
      </c>
      <c r="M14" s="61">
        <f>IF(Table2427245[[#This Row],[End of Work (time)]]&lt;Table2427245[[#This Row],[Start of Work (time)]],Table2427245[[#This Row],[End of Work (time)]]+24-Table2427245[[#This Row],[Start of Work (time)]],Table2427245[[#This Row],[End of Work (time)]]-Table2427245[[#This Row],[Start of Work (time)]])</f>
        <v>0.33333333333333337</v>
      </c>
      <c r="N14"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4.166666666666663E-2</v>
      </c>
      <c r="O14" s="50">
        <v>50</v>
      </c>
      <c r="P14" s="58">
        <f>Table2427245[[#This Row],[Travel Time from Work to Home]]+Table2427245[[#This Row],[Travel Time from Home to Work]]</f>
        <v>7.291666666666663E-2</v>
      </c>
    </row>
    <row r="15" spans="1:16" x14ac:dyDescent="0.25">
      <c r="A15" s="50" t="s">
        <v>55</v>
      </c>
      <c r="B15" s="50" t="s">
        <v>71</v>
      </c>
      <c r="C15" s="50" t="s">
        <v>63</v>
      </c>
      <c r="D15" s="50"/>
      <c r="E15" s="59">
        <v>0.35416666666666669</v>
      </c>
      <c r="F15" s="67">
        <v>0.27083333333333331</v>
      </c>
      <c r="G15" s="67">
        <v>0.33333333333333331</v>
      </c>
      <c r="H15"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1.0416666666666685E-2</v>
      </c>
      <c r="I15" s="50">
        <v>35</v>
      </c>
      <c r="J15" s="59">
        <v>0.75</v>
      </c>
      <c r="K15" s="60">
        <v>0.75</v>
      </c>
      <c r="L15" s="60">
        <v>0.8125</v>
      </c>
      <c r="M15" s="61">
        <f>IF(Table2427245[[#This Row],[End of Work (time)]]&lt;Table2427245[[#This Row],[Start of Work (time)]],Table2427245[[#This Row],[End of Work (time)]]+24-Table2427245[[#This Row],[Start of Work (time)]],Table2427245[[#This Row],[End of Work (time)]]-Table2427245[[#This Row],[Start of Work (time)]])</f>
        <v>0.37500000000000006</v>
      </c>
      <c r="N15"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6.25E-2</v>
      </c>
      <c r="O15" s="50">
        <v>50</v>
      </c>
      <c r="P15" s="58">
        <f>Table2427245[[#This Row],[Travel Time from Work to Home]]+Table2427245[[#This Row],[Travel Time from Home to Work]]</f>
        <v>7.2916666666666685E-2</v>
      </c>
    </row>
    <row r="16" spans="1:16" x14ac:dyDescent="0.25">
      <c r="A16" s="50" t="s">
        <v>52</v>
      </c>
      <c r="B16" s="50"/>
      <c r="C16" s="50" t="s">
        <v>54</v>
      </c>
      <c r="D16" s="50"/>
      <c r="E16" s="59">
        <v>0.79166666666666663</v>
      </c>
      <c r="F16" s="67">
        <v>0.70833333333333337</v>
      </c>
      <c r="G16" s="67">
        <v>0.79166666666666663</v>
      </c>
      <c r="H16"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2.083333333333337E-2</v>
      </c>
      <c r="I16" s="50">
        <v>16</v>
      </c>
      <c r="J16" s="59">
        <v>0.20833333333333334</v>
      </c>
      <c r="K16" s="60">
        <v>0.20833333333333334</v>
      </c>
      <c r="L16" s="60">
        <v>0.25</v>
      </c>
      <c r="M16" s="61">
        <f>IF(Table2427245[[#This Row],[End of Work (time)]]&lt;Table2427245[[#This Row],[Start of Work (time)]],Table2427245[[#This Row],[End of Work (time)]]+24-Table2427245[[#This Row],[Start of Work (time)]],Table2427245[[#This Row],[End of Work (time)]]-Table2427245[[#This Row],[Start of Work (time)]])</f>
        <v>0.37499999999999994</v>
      </c>
      <c r="N16"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5.208333333333337E-2</v>
      </c>
      <c r="O16" s="50">
        <v>16</v>
      </c>
      <c r="P16" s="58">
        <f>Table2427245[[#This Row],[Travel Time from Work to Home]]+Table2427245[[#This Row],[Travel Time from Home to Work]]</f>
        <v>7.2916666666666741E-2</v>
      </c>
    </row>
    <row r="17" spans="1:16" x14ac:dyDescent="0.25">
      <c r="A17" s="50" t="s">
        <v>59</v>
      </c>
      <c r="B17" s="50"/>
      <c r="C17" s="50" t="s">
        <v>52</v>
      </c>
      <c r="D17" s="50"/>
      <c r="E17" s="59">
        <v>0.33333333333333331</v>
      </c>
      <c r="F17" s="67">
        <v>0.22916666666666666</v>
      </c>
      <c r="G17" s="67">
        <v>0.29166666666666669</v>
      </c>
      <c r="H17"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3.472222222222221E-2</v>
      </c>
      <c r="I17" s="50">
        <v>45</v>
      </c>
      <c r="J17" s="59">
        <v>0.70833333333333337</v>
      </c>
      <c r="K17" s="60">
        <v>0.70833333333333337</v>
      </c>
      <c r="L17" s="60">
        <v>0.8125</v>
      </c>
      <c r="M17" s="61">
        <f>IF(Table2427245[[#This Row],[End of Work (time)]]&lt;Table2427245[[#This Row],[Start of Work (time)]],Table2427245[[#This Row],[End of Work (time)]]+24-Table2427245[[#This Row],[Start of Work (time)]],Table2427245[[#This Row],[End of Work (time)]]-Table2427245[[#This Row],[Start of Work (time)]])</f>
        <v>0.34722222222222215</v>
      </c>
      <c r="N17"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4.166666666666663E-2</v>
      </c>
      <c r="O17" s="50">
        <v>45</v>
      </c>
      <c r="P17" s="58">
        <f>Table2427245[[#This Row],[Travel Time from Work to Home]]+Table2427245[[#This Row],[Travel Time from Home to Work]]</f>
        <v>7.638888888888884E-2</v>
      </c>
    </row>
    <row r="18" spans="1:16" x14ac:dyDescent="0.25">
      <c r="A18" s="50" t="s">
        <v>72</v>
      </c>
      <c r="B18" s="50"/>
      <c r="C18" s="50" t="s">
        <v>61</v>
      </c>
      <c r="D18" s="50"/>
      <c r="E18" s="59">
        <v>0.25</v>
      </c>
      <c r="F18" s="67">
        <v>0.20833333333333334</v>
      </c>
      <c r="G18" s="67">
        <v>0.22916666666666666</v>
      </c>
      <c r="H18"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2.083333333333337E-2</v>
      </c>
      <c r="I18" s="50">
        <v>19</v>
      </c>
      <c r="J18" s="59">
        <v>0.58333333333333337</v>
      </c>
      <c r="K18" s="60">
        <v>0.58333333333333337</v>
      </c>
      <c r="L18" s="60">
        <v>0.625</v>
      </c>
      <c r="M18" s="61">
        <f>IF(Table2427245[[#This Row],[End of Work (time)]]&lt;Table2427245[[#This Row],[Start of Work (time)]],Table2427245[[#This Row],[End of Work (time)]]+24-Table2427245[[#This Row],[Start of Work (time)]],Table2427245[[#This Row],[End of Work (time)]]-Table2427245[[#This Row],[Start of Work (time)]])</f>
        <v>0.35416666666666669</v>
      </c>
      <c r="N18"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6.25E-2</v>
      </c>
      <c r="O18" s="50">
        <v>30</v>
      </c>
      <c r="P18" s="58">
        <f>Table2427245[[#This Row],[Travel Time from Work to Home]]+Table2427245[[#This Row],[Travel Time from Home to Work]]</f>
        <v>8.333333333333337E-2</v>
      </c>
    </row>
    <row r="19" spans="1:16" x14ac:dyDescent="0.25">
      <c r="A19" s="50" t="s">
        <v>59</v>
      </c>
      <c r="B19" s="50"/>
      <c r="C19" s="50" t="s">
        <v>54</v>
      </c>
      <c r="D19" s="50"/>
      <c r="E19" s="59">
        <v>0.625</v>
      </c>
      <c r="F19" s="67">
        <v>0.5625</v>
      </c>
      <c r="G19" s="67">
        <v>0.61458333333333337</v>
      </c>
      <c r="H19"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7.291666666666663E-2</v>
      </c>
      <c r="I19" s="50">
        <v>200</v>
      </c>
      <c r="J19" s="59">
        <v>2.0833333333333332E-2</v>
      </c>
      <c r="K19" s="60">
        <v>2.0833333333333332E-2</v>
      </c>
      <c r="L19" s="60">
        <v>6.8749999999999992E-2</v>
      </c>
      <c r="M19" s="61">
        <f>IF(Table2427245[[#This Row],[End of Work (time)]]&lt;Table2427245[[#This Row],[Start of Work (time)]],Table2427245[[#This Row],[End of Work (time)]]+24-Table2427245[[#This Row],[Start of Work (time)]],Table2427245[[#This Row],[End of Work (time)]]-Table2427245[[#This Row],[Start of Work (time)]])</f>
        <v>23.416666666666668</v>
      </c>
      <c r="N19"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2.0833333333333332E-2</v>
      </c>
      <c r="O19" s="50">
        <v>0</v>
      </c>
      <c r="P19" s="58">
        <f>Table2427245[[#This Row],[Travel Time from Work to Home]]+Table2427245[[#This Row],[Travel Time from Home to Work]]</f>
        <v>9.3749999999999958E-2</v>
      </c>
    </row>
    <row r="20" spans="1:16" x14ac:dyDescent="0.25">
      <c r="A20" s="50" t="s">
        <v>70</v>
      </c>
      <c r="B20" s="50"/>
      <c r="C20" s="50" t="s">
        <v>61</v>
      </c>
      <c r="D20" s="50"/>
      <c r="E20" s="59">
        <v>0.58333333333333337</v>
      </c>
      <c r="F20" s="67">
        <v>0.5</v>
      </c>
      <c r="G20" s="67">
        <v>0.5625</v>
      </c>
      <c r="H20"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4.166666666666663E-2</v>
      </c>
      <c r="I20" s="50">
        <v>50</v>
      </c>
      <c r="J20" s="59">
        <v>0.92361111111111116</v>
      </c>
      <c r="K20" s="60">
        <v>0.92708333333333337</v>
      </c>
      <c r="L20" s="60">
        <v>0.97916666666666663</v>
      </c>
      <c r="M20" s="61">
        <f>IF(Table2427245[[#This Row],[End of Work (time)]]&lt;Table2427245[[#This Row],[Start of Work (time)]],Table2427245[[#This Row],[End of Work (time)]]+24-Table2427245[[#This Row],[Start of Work (time)]],Table2427245[[#This Row],[End of Work (time)]]-Table2427245[[#This Row],[Start of Work (time)]])</f>
        <v>23.375</v>
      </c>
      <c r="N20"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5.5555555555555525E-2</v>
      </c>
      <c r="O20" s="50">
        <v>0</v>
      </c>
      <c r="P20" s="58">
        <f>Table2427245[[#This Row],[Travel Time from Work to Home]]+Table2427245[[#This Row],[Travel Time from Home to Work]]</f>
        <v>9.7222222222222154E-2</v>
      </c>
    </row>
    <row r="21" spans="1:16" x14ac:dyDescent="0.25">
      <c r="A21" s="50" t="s">
        <v>54</v>
      </c>
      <c r="B21" s="50"/>
      <c r="C21" s="50" t="s">
        <v>54</v>
      </c>
      <c r="D21" s="50"/>
      <c r="E21" s="59">
        <v>0.41666666666666669</v>
      </c>
      <c r="F21" s="67">
        <v>0.375</v>
      </c>
      <c r="G21" s="67">
        <v>0.3888888888888889</v>
      </c>
      <c r="H21"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5.208333333333337E-2</v>
      </c>
      <c r="I21" s="50">
        <v>0</v>
      </c>
      <c r="J21" s="59">
        <v>0.72916666666666663</v>
      </c>
      <c r="K21" s="60">
        <v>0.75</v>
      </c>
      <c r="L21" s="60">
        <v>0.78472222222222221</v>
      </c>
      <c r="M21" s="61">
        <f>IF(Table2427245[[#This Row],[End of Work (time)]]&lt;Table2427245[[#This Row],[Start of Work (time)]],Table2427245[[#This Row],[End of Work (time)]]+24-Table2427245[[#This Row],[Start of Work (time)]],Table2427245[[#This Row],[End of Work (time)]]-Table2427245[[#This Row],[Start of Work (time)]])</f>
        <v>23.395833333333332</v>
      </c>
      <c r="N21"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4.7916666666666663E-2</v>
      </c>
      <c r="O21" s="50">
        <v>0</v>
      </c>
      <c r="P21" s="58">
        <f>Table2427245[[#This Row],[Travel Time from Work to Home]]+Table2427245[[#This Row],[Travel Time from Home to Work]]</f>
        <v>0.10000000000000003</v>
      </c>
    </row>
    <row r="22" spans="1:16" x14ac:dyDescent="0.25">
      <c r="A22" s="50" t="s">
        <v>52</v>
      </c>
      <c r="B22" s="50"/>
      <c r="C22" s="50" t="s">
        <v>54</v>
      </c>
      <c r="D22" s="50"/>
      <c r="E22" s="59">
        <v>0.375</v>
      </c>
      <c r="F22" s="67">
        <v>0.3125</v>
      </c>
      <c r="G22" s="67">
        <v>0.36458333333333331</v>
      </c>
      <c r="H22"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8.3333333333333259E-2</v>
      </c>
      <c r="I22" s="50">
        <v>18</v>
      </c>
      <c r="J22" s="59">
        <v>0.79166666666666663</v>
      </c>
      <c r="K22" s="60">
        <v>0.79166666666666663</v>
      </c>
      <c r="L22" s="60">
        <v>0.85416666666666663</v>
      </c>
      <c r="M22" s="61">
        <f>IF(Table2427245[[#This Row],[End of Work (time)]]&lt;Table2427245[[#This Row],[Start of Work (time)]],Table2427245[[#This Row],[End of Work (time)]]+24-Table2427245[[#This Row],[Start of Work (time)]],Table2427245[[#This Row],[End of Work (time)]]-Table2427245[[#This Row],[Start of Work (time)]])</f>
        <v>23.4375</v>
      </c>
      <c r="N22"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2.0833333333333332E-2</v>
      </c>
      <c r="O22" s="50">
        <v>18</v>
      </c>
      <c r="P22" s="58">
        <f>Table2427245[[#This Row],[Travel Time from Work to Home]]+Table2427245[[#This Row],[Travel Time from Home to Work]]</f>
        <v>0.10416666666666659</v>
      </c>
    </row>
    <row r="23" spans="1:16" x14ac:dyDescent="0.25">
      <c r="A23" s="50" t="s">
        <v>60</v>
      </c>
      <c r="B23" s="50"/>
      <c r="C23" s="50" t="s">
        <v>52</v>
      </c>
      <c r="D23" s="50"/>
      <c r="E23" s="59">
        <v>0.41666666666666669</v>
      </c>
      <c r="F23" s="67">
        <v>0.375</v>
      </c>
      <c r="G23" s="67">
        <v>0.39583333333333331</v>
      </c>
      <c r="H23"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2.0833333333333315E-2</v>
      </c>
      <c r="I23" s="50">
        <v>13</v>
      </c>
      <c r="J23" s="59">
        <v>0.75</v>
      </c>
      <c r="K23" s="60">
        <v>0.75</v>
      </c>
      <c r="L23" s="60">
        <v>0.83333333333333337</v>
      </c>
      <c r="M23" s="61">
        <f>IF(Table2427245[[#This Row],[End of Work (time)]]&lt;Table2427245[[#This Row],[Start of Work (time)]],Table2427245[[#This Row],[End of Work (time)]]+24-Table2427245[[#This Row],[Start of Work (time)]],Table2427245[[#This Row],[End of Work (time)]]-Table2427245[[#This Row],[Start of Work (time)]])</f>
        <v>0.33333333333333331</v>
      </c>
      <c r="N23"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8.333333333333337E-2</v>
      </c>
      <c r="O23" s="50">
        <v>13</v>
      </c>
      <c r="P23" s="58">
        <f>Table2427245[[#This Row],[Travel Time from Work to Home]]+Table2427245[[#This Row],[Travel Time from Home to Work]]</f>
        <v>0.10416666666666669</v>
      </c>
    </row>
    <row r="24" spans="1:16" x14ac:dyDescent="0.25">
      <c r="A24" s="50" t="s">
        <v>55</v>
      </c>
      <c r="B24" s="50" t="s">
        <v>56</v>
      </c>
      <c r="C24" s="50" t="s">
        <v>55</v>
      </c>
      <c r="D24" s="50" t="s">
        <v>57</v>
      </c>
      <c r="E24" s="59">
        <v>0.3125</v>
      </c>
      <c r="F24" s="67">
        <v>0.28472222222222221</v>
      </c>
      <c r="G24" s="67">
        <v>0.30902777777777779</v>
      </c>
      <c r="H24"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8.333333333333337E-2</v>
      </c>
      <c r="I24" s="50">
        <v>50</v>
      </c>
      <c r="J24" s="59">
        <v>0.69791666666666663</v>
      </c>
      <c r="K24" s="60">
        <v>0.70138888888888884</v>
      </c>
      <c r="L24" s="60">
        <v>0.72222222222222221</v>
      </c>
      <c r="M24" s="61">
        <f>IF(Table2427245[[#This Row],[End of Work (time)]]&lt;Table2427245[[#This Row],[Start of Work (time)]],Table2427245[[#This Row],[End of Work (time)]]+24-Table2427245[[#This Row],[Start of Work (time)]],Table2427245[[#This Row],[End of Work (time)]]-Table2427245[[#This Row],[Start of Work (time)]])</f>
        <v>23.4375</v>
      </c>
      <c r="N24"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2.0833333333333336E-2</v>
      </c>
      <c r="O24" s="50">
        <v>50</v>
      </c>
      <c r="P24" s="58">
        <f>Table2427245[[#This Row],[Travel Time from Work to Home]]+Table2427245[[#This Row],[Travel Time from Home to Work]]</f>
        <v>0.10416666666666671</v>
      </c>
    </row>
    <row r="25" spans="1:16" x14ac:dyDescent="0.25">
      <c r="A25" s="50" t="s">
        <v>52</v>
      </c>
      <c r="B25" s="50"/>
      <c r="C25" s="50" t="s">
        <v>61</v>
      </c>
      <c r="D25" s="50"/>
      <c r="E25" s="59">
        <v>0.25</v>
      </c>
      <c r="F25" s="67">
        <v>0.1875</v>
      </c>
      <c r="G25" s="67">
        <v>0.27083333333333331</v>
      </c>
      <c r="H25"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6.25E-2</v>
      </c>
      <c r="I25" s="50">
        <v>100</v>
      </c>
      <c r="J25" s="59">
        <v>0.6875</v>
      </c>
      <c r="K25" s="60">
        <v>0.66666666666666663</v>
      </c>
      <c r="L25" s="60">
        <v>0.75</v>
      </c>
      <c r="M25" s="61">
        <f>IF(Table2427245[[#This Row],[End of Work (time)]]&lt;Table2427245[[#This Row],[Start of Work (time)]],Table2427245[[#This Row],[End of Work (time)]]+24-Table2427245[[#This Row],[Start of Work (time)]],Table2427245[[#This Row],[End of Work (time)]]-Table2427245[[#This Row],[Start of Work (time)]])</f>
        <v>0.34027777777777779</v>
      </c>
      <c r="N25"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5.2083333333333259E-2</v>
      </c>
      <c r="O25" s="50">
        <v>100</v>
      </c>
      <c r="P25" s="58">
        <f>Table2427245[[#This Row],[Travel Time from Work to Home]]+Table2427245[[#This Row],[Travel Time from Home to Work]]</f>
        <v>0.11458333333333326</v>
      </c>
    </row>
    <row r="26" spans="1:16" x14ac:dyDescent="0.25">
      <c r="A26" s="50" t="s">
        <v>52</v>
      </c>
      <c r="B26" s="50"/>
      <c r="C26" s="50" t="s">
        <v>52</v>
      </c>
      <c r="D26" s="50"/>
      <c r="E26" s="59">
        <v>0.38541666666666669</v>
      </c>
      <c r="F26" s="67">
        <v>0.36458333333333331</v>
      </c>
      <c r="G26" s="67">
        <v>0.375</v>
      </c>
      <c r="H26"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5.2083333333333315E-2</v>
      </c>
      <c r="I26" s="50">
        <v>13</v>
      </c>
      <c r="J26" s="59">
        <v>0.83333333333333337</v>
      </c>
      <c r="K26" s="60">
        <v>0.83333333333333337</v>
      </c>
      <c r="L26" s="60">
        <v>0.85416666666666663</v>
      </c>
      <c r="M26" s="61">
        <f>IF(Table2427245[[#This Row],[End of Work (time)]]&lt;Table2427245[[#This Row],[Start of Work (time)]],Table2427245[[#This Row],[End of Work (time)]]+24-Table2427245[[#This Row],[Start of Work (time)]],Table2427245[[#This Row],[End of Work (time)]]-Table2427245[[#This Row],[Start of Work (time)]])</f>
        <v>0.41666666666666663</v>
      </c>
      <c r="N26"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6.25E-2</v>
      </c>
      <c r="O26" s="50">
        <v>13</v>
      </c>
      <c r="P26" s="58">
        <f>Table2427245[[#This Row],[Travel Time from Work to Home]]+Table2427245[[#This Row],[Travel Time from Home to Work]]</f>
        <v>0.11458333333333331</v>
      </c>
    </row>
    <row r="27" spans="1:16" x14ac:dyDescent="0.25">
      <c r="A27" s="50" t="s">
        <v>59</v>
      </c>
      <c r="B27" s="50"/>
      <c r="C27" s="50" t="s">
        <v>52</v>
      </c>
      <c r="D27" s="50"/>
      <c r="E27" s="59">
        <v>0.375</v>
      </c>
      <c r="F27" s="67">
        <v>0.32291666666666669</v>
      </c>
      <c r="G27" s="67">
        <v>0.375</v>
      </c>
      <c r="H27"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4.166666666666663E-2</v>
      </c>
      <c r="I27" s="50">
        <v>70</v>
      </c>
      <c r="J27" s="59">
        <v>0.875</v>
      </c>
      <c r="K27" s="60">
        <v>0.83333333333333337</v>
      </c>
      <c r="L27" s="60">
        <v>0.91666666666666663</v>
      </c>
      <c r="M27" s="61">
        <f>IF(Table2427245[[#This Row],[End of Work (time)]]&lt;Table2427245[[#This Row],[Start of Work (time)]],Table2427245[[#This Row],[End of Work (time)]]+24-Table2427245[[#This Row],[Start of Work (time)]],Table2427245[[#This Row],[End of Work (time)]]-Table2427245[[#This Row],[Start of Work (time)]])</f>
        <v>0.37500000000000006</v>
      </c>
      <c r="N27"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8.3333333333333259E-2</v>
      </c>
      <c r="O27" s="50">
        <v>100</v>
      </c>
      <c r="P27" s="58">
        <f>Table2427245[[#This Row],[Travel Time from Work to Home]]+Table2427245[[#This Row],[Travel Time from Home to Work]]</f>
        <v>0.12499999999999989</v>
      </c>
    </row>
    <row r="28" spans="1:16" x14ac:dyDescent="0.25">
      <c r="A28" s="50" t="s">
        <v>59</v>
      </c>
      <c r="B28" s="50"/>
      <c r="C28" s="50" t="s">
        <v>54</v>
      </c>
      <c r="D28" s="50"/>
      <c r="E28" s="59">
        <v>0.58333333333333337</v>
      </c>
      <c r="F28" s="67">
        <v>0.52083333333333337</v>
      </c>
      <c r="G28" s="67">
        <v>0.60416666666666663</v>
      </c>
      <c r="H28"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8.3333333333333259E-2</v>
      </c>
      <c r="I28" s="50">
        <v>100</v>
      </c>
      <c r="J28" s="59">
        <v>2.0833333333333332E-2</v>
      </c>
      <c r="K28" s="60">
        <v>2.0833333333333332E-2</v>
      </c>
      <c r="L28" s="60">
        <v>4.1666666666666664E-2</v>
      </c>
      <c r="M28" s="61">
        <f>IF(Table2427245[[#This Row],[End of Work (time)]]&lt;Table2427245[[#This Row],[Start of Work (time)]],Table2427245[[#This Row],[End of Work (time)]]+24-Table2427245[[#This Row],[Start of Work (time)]],Table2427245[[#This Row],[End of Work (time)]]-Table2427245[[#This Row],[Start of Work (time)]])</f>
        <v>23.416666666666664</v>
      </c>
      <c r="N28"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4.1666666666666657E-2</v>
      </c>
      <c r="O28" s="50">
        <v>0</v>
      </c>
      <c r="P28" s="58">
        <f>Table2427245[[#This Row],[Travel Time from Work to Home]]+Table2427245[[#This Row],[Travel Time from Home to Work]]</f>
        <v>0.12499999999999992</v>
      </c>
    </row>
    <row r="29" spans="1:16" x14ac:dyDescent="0.25">
      <c r="A29" s="50" t="s">
        <v>65</v>
      </c>
      <c r="B29" s="50"/>
      <c r="C29" s="50" t="s">
        <v>54</v>
      </c>
      <c r="D29" s="50"/>
      <c r="E29" s="59">
        <v>0.58333333333333337</v>
      </c>
      <c r="F29" s="67">
        <v>0.58333333333333337</v>
      </c>
      <c r="G29" s="67">
        <v>0.625</v>
      </c>
      <c r="H29"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6.25E-2</v>
      </c>
      <c r="I29" s="50">
        <v>34</v>
      </c>
      <c r="J29" s="59">
        <v>2.0833333333333332E-2</v>
      </c>
      <c r="K29" s="60">
        <v>0</v>
      </c>
      <c r="L29" s="60">
        <v>2.0833333333333332E-2</v>
      </c>
      <c r="M29" s="61">
        <f>IF(Table2427245[[#This Row],[End of Work (time)]]&lt;Table2427245[[#This Row],[Start of Work (time)]],Table2427245[[#This Row],[End of Work (time)]]+24-Table2427245[[#This Row],[Start of Work (time)]],Table2427245[[#This Row],[End of Work (time)]]-Table2427245[[#This Row],[Start of Work (time)]])</f>
        <v>0.39583333333333331</v>
      </c>
      <c r="N29"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6.25E-2</v>
      </c>
      <c r="O29" s="50">
        <v>0</v>
      </c>
      <c r="P29" s="58">
        <f>Table2427245[[#This Row],[Travel Time from Work to Home]]+Table2427245[[#This Row],[Travel Time from Home to Work]]</f>
        <v>0.125</v>
      </c>
    </row>
    <row r="30" spans="1:16" x14ac:dyDescent="0.25">
      <c r="A30" s="50" t="s">
        <v>55</v>
      </c>
      <c r="B30" s="50" t="s">
        <v>67</v>
      </c>
      <c r="C30" s="50" t="s">
        <v>54</v>
      </c>
      <c r="D30" s="50"/>
      <c r="E30" s="59">
        <v>0.58333333333333337</v>
      </c>
      <c r="F30" s="67">
        <v>0.47916666666666669</v>
      </c>
      <c r="G30" s="67">
        <v>0.58333333333333337</v>
      </c>
      <c r="H30"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6.25E-2</v>
      </c>
      <c r="I30" s="50">
        <v>102</v>
      </c>
      <c r="J30" s="59">
        <v>0</v>
      </c>
      <c r="K30" s="60">
        <v>0</v>
      </c>
      <c r="L30" s="60">
        <v>4.1666666666666664E-2</v>
      </c>
      <c r="M30" s="61">
        <f>IF(Table2427245[[#This Row],[End of Work (time)]]&lt;Table2427245[[#This Row],[Start of Work (time)]],Table2427245[[#This Row],[End of Work (time)]]+24-Table2427245[[#This Row],[Start of Work (time)]],Table2427245[[#This Row],[End of Work (time)]]-Table2427245[[#This Row],[Start of Work (time)]])</f>
        <v>0.37500000000000006</v>
      </c>
      <c r="N30"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6.25E-2</v>
      </c>
      <c r="O30" s="50">
        <v>0</v>
      </c>
      <c r="P30" s="58">
        <f>Table2427245[[#This Row],[Travel Time from Work to Home]]+Table2427245[[#This Row],[Travel Time from Home to Work]]</f>
        <v>0.125</v>
      </c>
    </row>
    <row r="31" spans="1:16" x14ac:dyDescent="0.25">
      <c r="A31" s="50" t="s">
        <v>54</v>
      </c>
      <c r="B31" s="50"/>
      <c r="C31" s="50" t="s">
        <v>54</v>
      </c>
      <c r="D31" s="50"/>
      <c r="E31" s="59">
        <v>0.5</v>
      </c>
      <c r="F31" s="67">
        <v>0.41666666666666669</v>
      </c>
      <c r="G31" s="67">
        <v>0.45833333333333331</v>
      </c>
      <c r="H31"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5.2083333333333315E-2</v>
      </c>
      <c r="I31" s="50">
        <v>160</v>
      </c>
      <c r="J31" s="59">
        <v>0.95833333333333337</v>
      </c>
      <c r="K31" s="60">
        <v>0</v>
      </c>
      <c r="L31" s="60">
        <v>1.0416666666666666E-2</v>
      </c>
      <c r="M31" s="61">
        <f>IF(Table2427245[[#This Row],[End of Work (time)]]&lt;Table2427245[[#This Row],[Start of Work (time)]],Table2427245[[#This Row],[End of Work (time)]]+24-Table2427245[[#This Row],[Start of Work (time)]],Table2427245[[#This Row],[End of Work (time)]]-Table2427245[[#This Row],[Start of Work (time)]])</f>
        <v>0.5</v>
      </c>
      <c r="N31"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8.3333333333333259E-2</v>
      </c>
      <c r="O31" s="50">
        <v>0</v>
      </c>
      <c r="P31" s="58">
        <f>Table2427245[[#This Row],[Travel Time from Work to Home]]+Table2427245[[#This Row],[Travel Time from Home to Work]]</f>
        <v>0.13541666666666657</v>
      </c>
    </row>
    <row r="32" spans="1:16" x14ac:dyDescent="0.25">
      <c r="A32" s="50" t="s">
        <v>55</v>
      </c>
      <c r="B32" s="50" t="s">
        <v>66</v>
      </c>
      <c r="C32" s="50" t="s">
        <v>54</v>
      </c>
      <c r="D32" s="50"/>
      <c r="E32" s="59">
        <v>0.41666666666666669</v>
      </c>
      <c r="F32" s="67">
        <v>0.29166666666666669</v>
      </c>
      <c r="G32" s="67">
        <v>0.375</v>
      </c>
      <c r="H32"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0.10416666666666669</v>
      </c>
      <c r="I32" s="50">
        <v>60</v>
      </c>
      <c r="J32" s="59">
        <v>0.79166666666666663</v>
      </c>
      <c r="K32" s="60">
        <v>0.79166666666666663</v>
      </c>
      <c r="L32" s="60">
        <v>0.875</v>
      </c>
      <c r="M32" s="61">
        <f>IF(Table2427245[[#This Row],[End of Work (time)]]&lt;Table2427245[[#This Row],[Start of Work (time)]],Table2427245[[#This Row],[End of Work (time)]]+24-Table2427245[[#This Row],[Start of Work (time)]],Table2427245[[#This Row],[End of Work (time)]]-Table2427245[[#This Row],[Start of Work (time)]])</f>
        <v>23.416666666666668</v>
      </c>
      <c r="N32"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4.1666666666666664E-2</v>
      </c>
      <c r="O32" s="50">
        <v>65</v>
      </c>
      <c r="P32" s="58">
        <f>Table2427245[[#This Row],[Travel Time from Work to Home]]+Table2427245[[#This Row],[Travel Time from Home to Work]]</f>
        <v>0.14583333333333334</v>
      </c>
    </row>
    <row r="33" spans="1:16" x14ac:dyDescent="0.25">
      <c r="A33" s="50" t="s">
        <v>55</v>
      </c>
      <c r="B33" s="50" t="s">
        <v>58</v>
      </c>
      <c r="C33" s="50" t="s">
        <v>55</v>
      </c>
      <c r="D33" s="50" t="s">
        <v>58</v>
      </c>
      <c r="E33" s="59">
        <v>0.33333333333333331</v>
      </c>
      <c r="F33" s="67">
        <v>0.27083333333333331</v>
      </c>
      <c r="G33" s="67">
        <v>0.29166666666666669</v>
      </c>
      <c r="H33"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0.10416666666666663</v>
      </c>
      <c r="I33" s="50">
        <v>35</v>
      </c>
      <c r="J33" s="59">
        <v>0.72916666666666663</v>
      </c>
      <c r="K33" s="60">
        <v>0.70833333333333337</v>
      </c>
      <c r="L33" s="60">
        <v>0.72916666666666663</v>
      </c>
      <c r="M33" s="61">
        <f>IF(Table2427245[[#This Row],[End of Work (time)]]&lt;Table2427245[[#This Row],[Start of Work (time)]],Table2427245[[#This Row],[End of Work (time)]]+24-Table2427245[[#This Row],[Start of Work (time)]],Table2427245[[#This Row],[End of Work (time)]]-Table2427245[[#This Row],[Start of Work (time)]])</f>
        <v>0.45833333333333331</v>
      </c>
      <c r="N33"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6.25E-2</v>
      </c>
      <c r="O33" s="50">
        <v>35</v>
      </c>
      <c r="P33" s="58">
        <f>Table2427245[[#This Row],[Travel Time from Work to Home]]+Table2427245[[#This Row],[Travel Time from Home to Work]]</f>
        <v>0.16666666666666663</v>
      </c>
    </row>
    <row r="34" spans="1:16" x14ac:dyDescent="0.25">
      <c r="A34" s="50" t="s">
        <v>61</v>
      </c>
      <c r="B34" s="50"/>
      <c r="C34" s="50" t="s">
        <v>62</v>
      </c>
      <c r="D34" s="50"/>
      <c r="E34" s="59">
        <v>0.33333333333333331</v>
      </c>
      <c r="F34" s="67">
        <v>0.16666666666666666</v>
      </c>
      <c r="G34" s="67">
        <v>0.27083333333333331</v>
      </c>
      <c r="H34"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6.2500000000000028E-2</v>
      </c>
      <c r="I34" s="50">
        <v>100</v>
      </c>
      <c r="J34" s="59">
        <v>0.70833333333333337</v>
      </c>
      <c r="K34" s="60">
        <v>0.70833333333333337</v>
      </c>
      <c r="L34" s="60">
        <v>0.875</v>
      </c>
      <c r="M34" s="61">
        <f>IF(Table2427245[[#This Row],[End of Work (time)]]&lt;Table2427245[[#This Row],[Start of Work (time)]],Table2427245[[#This Row],[End of Work (time)]]+24-Table2427245[[#This Row],[Start of Work (time)]],Table2427245[[#This Row],[End of Work (time)]]-Table2427245[[#This Row],[Start of Work (time)]])</f>
        <v>0.37500000000000006</v>
      </c>
      <c r="N34"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0.10416666666666663</v>
      </c>
      <c r="O34" s="50">
        <v>100</v>
      </c>
      <c r="P34" s="58">
        <f>Table2427245[[#This Row],[Travel Time from Work to Home]]+Table2427245[[#This Row],[Travel Time from Home to Work]]</f>
        <v>0.16666666666666666</v>
      </c>
    </row>
    <row r="35" spans="1:16" x14ac:dyDescent="0.25">
      <c r="A35" s="50" t="s">
        <v>55</v>
      </c>
      <c r="B35" s="50" t="s">
        <v>56</v>
      </c>
      <c r="C35" s="50" t="s">
        <v>55</v>
      </c>
      <c r="D35" s="50" t="s">
        <v>68</v>
      </c>
      <c r="E35" s="59">
        <v>0.33333333333333331</v>
      </c>
      <c r="F35" s="67">
        <v>0.19791666666666666</v>
      </c>
      <c r="G35" s="67">
        <v>0.3125</v>
      </c>
      <c r="H35"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8.3333333333333315E-2</v>
      </c>
      <c r="I35" s="50">
        <v>140</v>
      </c>
      <c r="J35" s="59">
        <v>0.75</v>
      </c>
      <c r="K35" s="60">
        <v>0.75</v>
      </c>
      <c r="L35" s="60">
        <v>0.875</v>
      </c>
      <c r="M35" s="61">
        <f>IF(Table2427245[[#This Row],[End of Work (time)]]&lt;Table2427245[[#This Row],[Start of Work (time)]],Table2427245[[#This Row],[End of Work (time)]]+24-Table2427245[[#This Row],[Start of Work (time)]],Table2427245[[#This Row],[End of Work (time)]]-Table2427245[[#This Row],[Start of Work (time)]])</f>
        <v>0.4375</v>
      </c>
      <c r="N35"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8.333333333333337E-2</v>
      </c>
      <c r="O35" s="50">
        <v>150</v>
      </c>
      <c r="P35" s="58">
        <f>Table2427245[[#This Row],[Travel Time from Work to Home]]+Table2427245[[#This Row],[Travel Time from Home to Work]]</f>
        <v>0.16666666666666669</v>
      </c>
    </row>
    <row r="36" spans="1:16" x14ac:dyDescent="0.25">
      <c r="A36" s="50" t="s">
        <v>52</v>
      </c>
      <c r="B36" s="50"/>
      <c r="C36" s="50" t="s">
        <v>52</v>
      </c>
      <c r="D36" s="50"/>
      <c r="E36" s="59">
        <v>0.33333333333333331</v>
      </c>
      <c r="F36" s="67">
        <v>0.3125</v>
      </c>
      <c r="G36" s="67">
        <v>0.32291666666666669</v>
      </c>
      <c r="H36"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8.3333333333333315E-2</v>
      </c>
      <c r="I36" s="50">
        <v>8</v>
      </c>
      <c r="J36" s="59">
        <v>0.70833333333333337</v>
      </c>
      <c r="K36" s="60">
        <v>0.72916666666666663</v>
      </c>
      <c r="L36" s="60">
        <v>0.79166666666666663</v>
      </c>
      <c r="M36" s="61">
        <f>IF(Table2427245[[#This Row],[End of Work (time)]]&lt;Table2427245[[#This Row],[Start of Work (time)]],Table2427245[[#This Row],[End of Work (time)]]+24-Table2427245[[#This Row],[Start of Work (time)]],Table2427245[[#This Row],[End of Work (time)]]-Table2427245[[#This Row],[Start of Work (time)]])</f>
        <v>0.37499999999999994</v>
      </c>
      <c r="N36"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8.333333333333337E-2</v>
      </c>
      <c r="O36" s="50">
        <v>8</v>
      </c>
      <c r="P36" s="58">
        <f>Table2427245[[#This Row],[Travel Time from Work to Home]]+Table2427245[[#This Row],[Travel Time from Home to Work]]</f>
        <v>0.16666666666666669</v>
      </c>
    </row>
    <row r="37" spans="1:16" x14ac:dyDescent="0.25">
      <c r="A37" s="50" t="s">
        <v>73</v>
      </c>
      <c r="B37" s="50"/>
      <c r="C37" s="50" t="s">
        <v>54</v>
      </c>
      <c r="D37" s="50"/>
      <c r="E37" s="59">
        <v>0.58333333333333337</v>
      </c>
      <c r="F37" s="67">
        <v>0.5</v>
      </c>
      <c r="G37" s="67">
        <v>0.57291666666666663</v>
      </c>
      <c r="H37"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8.3333333333333315E-2</v>
      </c>
      <c r="I37" s="50">
        <v>80</v>
      </c>
      <c r="J37" s="59">
        <v>0</v>
      </c>
      <c r="K37" s="60">
        <v>0</v>
      </c>
      <c r="L37" s="60">
        <v>2.0833333333333332E-2</v>
      </c>
      <c r="M37" s="61">
        <f>IF(Table2427245[[#This Row],[End of Work (time)]]&lt;Table2427245[[#This Row],[Start of Work (time)]],Table2427245[[#This Row],[End of Work (time)]]+24-Table2427245[[#This Row],[Start of Work (time)]],Table2427245[[#This Row],[End of Work (time)]]-Table2427245[[#This Row],[Start of Work (time)]])</f>
        <v>0.41666666666666669</v>
      </c>
      <c r="N37"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0.125</v>
      </c>
      <c r="O37" s="50">
        <v>0</v>
      </c>
      <c r="P37" s="58">
        <f>Table2427245[[#This Row],[Travel Time from Work to Home]]+Table2427245[[#This Row],[Travel Time from Home to Work]]</f>
        <v>0.20833333333333331</v>
      </c>
    </row>
    <row r="38" spans="1:16" x14ac:dyDescent="0.25">
      <c r="A38" s="50" t="s">
        <v>51</v>
      </c>
      <c r="B38" s="50"/>
      <c r="C38" s="50" t="s">
        <v>54</v>
      </c>
      <c r="D38" s="50"/>
      <c r="E38" s="59">
        <v>0.33333333333333331</v>
      </c>
      <c r="F38" s="67">
        <v>0.25</v>
      </c>
      <c r="G38" s="67">
        <v>0.33333333333333331</v>
      </c>
      <c r="H38"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6.2499999999999972E-2</v>
      </c>
      <c r="I38" s="50">
        <v>0</v>
      </c>
      <c r="J38" s="59">
        <v>0.75</v>
      </c>
      <c r="K38" s="60">
        <v>0.75</v>
      </c>
      <c r="L38" s="60">
        <v>0.875</v>
      </c>
      <c r="M38" s="61">
        <f>IF(Table2427245[[#This Row],[End of Work (time)]]&lt;Table2427245[[#This Row],[Start of Work (time)]],Table2427245[[#This Row],[End of Work (time)]]+24-Table2427245[[#This Row],[Start of Work (time)]],Table2427245[[#This Row],[End of Work (time)]]-Table2427245[[#This Row],[Start of Work (time)]])</f>
        <v>0.33333333333333331</v>
      </c>
      <c r="N38"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0.14583333333333337</v>
      </c>
      <c r="O38" s="50">
        <v>0</v>
      </c>
      <c r="P38" s="58">
        <f>Table2427245[[#This Row],[Travel Time from Work to Home]]+Table2427245[[#This Row],[Travel Time from Home to Work]]</f>
        <v>0.20833333333333334</v>
      </c>
    </row>
    <row r="39" spans="1:16" x14ac:dyDescent="0.25">
      <c r="A39" s="50" t="s">
        <v>55</v>
      </c>
      <c r="B39" s="50" t="s">
        <v>58</v>
      </c>
      <c r="C39" s="50" t="s">
        <v>61</v>
      </c>
      <c r="D39" s="50"/>
      <c r="E39" s="59">
        <v>0.33333333333333331</v>
      </c>
      <c r="F39" s="67">
        <v>0.29166666666666669</v>
      </c>
      <c r="G39" s="67">
        <v>0.33333333333333331</v>
      </c>
      <c r="H39"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0.10416666666666666</v>
      </c>
      <c r="I39" s="50">
        <v>100</v>
      </c>
      <c r="J39" s="59">
        <v>0.70833333333333337</v>
      </c>
      <c r="K39" s="60">
        <v>0.70833333333333337</v>
      </c>
      <c r="L39" s="60">
        <v>0.79166666666666663</v>
      </c>
      <c r="M39" s="61">
        <f>IF(Table2427245[[#This Row],[End of Work (time)]]&lt;Table2427245[[#This Row],[Start of Work (time)]],Table2427245[[#This Row],[End of Work (time)]]+24-Table2427245[[#This Row],[Start of Work (time)]],Table2427245[[#This Row],[End of Work (time)]]-Table2427245[[#This Row],[Start of Work (time)]])</f>
        <v>0.45833333333333337</v>
      </c>
      <c r="N39"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0.125</v>
      </c>
      <c r="O39" s="50">
        <v>100</v>
      </c>
      <c r="P39" s="58">
        <f>Table2427245[[#This Row],[Travel Time from Work to Home]]+Table2427245[[#This Row],[Travel Time from Home to Work]]</f>
        <v>0.22916666666666666</v>
      </c>
    </row>
    <row r="40" spans="1:16" x14ac:dyDescent="0.25">
      <c r="A40" s="50" t="s">
        <v>55</v>
      </c>
      <c r="B40" s="50" t="s">
        <v>58</v>
      </c>
      <c r="C40" s="50" t="s">
        <v>55</v>
      </c>
      <c r="D40" s="50" t="s">
        <v>58</v>
      </c>
      <c r="E40" s="59">
        <v>0.33333333333333331</v>
      </c>
      <c r="F40" s="67">
        <v>0.25</v>
      </c>
      <c r="G40" s="67">
        <v>0.3125</v>
      </c>
      <c r="H40"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0.11458333333333334</v>
      </c>
      <c r="I40" s="50">
        <v>50</v>
      </c>
      <c r="J40" s="59">
        <v>0.70833333333333337</v>
      </c>
      <c r="K40" s="63">
        <v>0.70833333333333337</v>
      </c>
      <c r="L40" s="63">
        <v>0.77083333333333337</v>
      </c>
      <c r="M40" s="61">
        <f>IF(Table2427245[[#This Row],[End of Work (time)]]&lt;Table2427245[[#This Row],[Start of Work (time)]],Table2427245[[#This Row],[End of Work (time)]]+24-Table2427245[[#This Row],[Start of Work (time)]],Table2427245[[#This Row],[End of Work (time)]]-Table2427245[[#This Row],[Start of Work (time)]])</f>
        <v>0.41666666666666669</v>
      </c>
      <c r="N40"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0.125</v>
      </c>
      <c r="O40" s="50">
        <v>85</v>
      </c>
      <c r="P40" s="58">
        <f>Table2427245[[#This Row],[Travel Time from Work to Home]]+Table2427245[[#This Row],[Travel Time from Home to Work]]</f>
        <v>0.23958333333333334</v>
      </c>
    </row>
    <row r="41" spans="1:16" x14ac:dyDescent="0.25">
      <c r="A41" s="50" t="s">
        <v>52</v>
      </c>
      <c r="B41" s="50"/>
      <c r="C41" s="50" t="s">
        <v>54</v>
      </c>
      <c r="D41" s="50"/>
      <c r="E41" s="59">
        <v>0.58333333333333337</v>
      </c>
      <c r="F41" s="67">
        <v>0.5625</v>
      </c>
      <c r="G41" s="67">
        <v>0.58333333333333337</v>
      </c>
      <c r="H41" s="58">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0.10416666666666666</v>
      </c>
      <c r="I41" s="50">
        <v>0</v>
      </c>
      <c r="J41" s="59">
        <v>6.25E-2</v>
      </c>
      <c r="K41" s="60">
        <v>2.0833333333333332E-2</v>
      </c>
      <c r="L41" s="60">
        <v>4.1666666666666664E-2</v>
      </c>
      <c r="M41" s="61">
        <f>IF(Table2427245[[#This Row],[End of Work (time)]]&lt;Table2427245[[#This Row],[Start of Work (time)]],Table2427245[[#This Row],[End of Work (time)]]+24-Table2427245[[#This Row],[Start of Work (time)]],Table2427245[[#This Row],[End of Work (time)]]-Table2427245[[#This Row],[Start of Work (time)]])</f>
        <v>0.37500000000000006</v>
      </c>
      <c r="N41" s="62">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0.16666666666666663</v>
      </c>
      <c r="O41" s="50">
        <v>0</v>
      </c>
      <c r="P41" s="58">
        <f>Table2427245[[#This Row],[Travel Time from Work to Home]]+Table2427245[[#This Row],[Travel Time from Home to Work]]</f>
        <v>0.27083333333333326</v>
      </c>
    </row>
    <row r="42" spans="1:16" x14ac:dyDescent="0.25">
      <c r="A42" s="57" t="s">
        <v>59</v>
      </c>
      <c r="B42" s="57"/>
      <c r="C42" s="57" t="s">
        <v>65</v>
      </c>
      <c r="D42" s="57"/>
      <c r="E42" s="70">
        <v>0.33333333333333331</v>
      </c>
      <c r="F42" s="65">
        <v>0.29166666666666669</v>
      </c>
      <c r="G42" s="65">
        <v>0.3263888888888889</v>
      </c>
      <c r="H42" s="71" t="e">
        <f>ABS(IF(Table2427245[[#This Row],[Time of Arrival (at Work)]]&lt;Table2427245[[#This Row],[Time of Departure (from Home)]],Table2427245[[#This Row],[Time of Arrival (at Work)]]+24-Table2427245[[#This Row],[Time of Departure (from Home)]],Table2427245[[#This Row],[Time of Arrival (at Work)]]-Table2427245[[#This Row],[Time of Departure (from Home)]]))</f>
        <v>#VALUE!</v>
      </c>
      <c r="I42" s="57">
        <v>60</v>
      </c>
      <c r="J42" s="70">
        <v>0.68055555555555547</v>
      </c>
      <c r="K42" s="66">
        <v>0.6875</v>
      </c>
      <c r="L42" s="66">
        <v>0.72916666666666663</v>
      </c>
      <c r="M42" s="72" t="e">
        <f>IF(Table2427245[[#This Row],[End of Work (time)]]&lt;Table2427245[[#This Row],[Start of Work (time)]],Table2427245[[#This Row],[End of Work (time)]]+24-Table2427245[[#This Row],[Start of Work (time)]],Table2427245[[#This Row],[End of Work (time)]]-Table2427245[[#This Row],[Start of Work (time)]])</f>
        <v>#VALUE!</v>
      </c>
      <c r="N42" s="64" t="e">
        <f>(IF(Table2427245[[#This Row],[Time of Arrival (at Home)]]&lt;Table2427245[[#This Row],[Time of Departure (from Work)]],Table2427245[[#This Row],[Time of Arrival (at Home)]]+24-Table2427245[[#This Row],[Time of Departure (from Work)]],Table2427245[[#This Row],[Time of Arrival (at Home)]]-Table2427245[[#This Row],[Time of Departure (from Work)]]))</f>
        <v>#VALUE!</v>
      </c>
      <c r="O42" s="57">
        <v>60</v>
      </c>
      <c r="P42" s="71" t="e">
        <f>Table2427245[[#This Row],[Travel Time from Work to Home]]+Table2427245[[#This Row],[Travel Time from Home to Work]]</f>
        <v>#VALUE!</v>
      </c>
    </row>
    <row r="43" spans="1:16" x14ac:dyDescent="0.25">
      <c r="E43" s="51"/>
      <c r="F43" s="52"/>
      <c r="G43" s="52"/>
      <c r="H43" s="53"/>
      <c r="J43" s="51"/>
      <c r="K43" s="55"/>
      <c r="L43" s="55"/>
    </row>
  </sheetData>
  <autoFilter ref="A1:L42" xr:uid="{E7A70ACE-7874-4BC4-BB56-904CEDAFC9AF}"/>
  <conditionalFormatting sqref="J2:K42">
    <cfRule type="cellIs" dxfId="9" priority="1" operator="lessThanOrEqual">
      <formula>0.25</formula>
    </cfRule>
    <cfRule type="cellIs" dxfId="8" priority="2" operator="greaterThanOrEqual">
      <formula>0.91666666667</formula>
    </cfRule>
  </conditionalFormatting>
  <conditionalFormatting sqref="I2:I42 O2:O42">
    <cfRule type="cellIs" dxfId="7" priority="3" operator="lessThanOrEqual">
      <formula>50</formula>
    </cfRule>
    <cfRule type="cellIs" dxfId="6" priority="4" operator="greaterThanOrEqual">
      <formula>100</formula>
    </cfRule>
  </conditionalFormatting>
  <conditionalFormatting sqref="N2:N42">
    <cfRule type="top10" dxfId="5" priority="5" bottom="1" rank="5"/>
    <cfRule type="top10" dxfId="4" priority="6" rank="5"/>
    <cfRule type="iconSet" priority="7">
      <iconSet iconSet="3Symbols2" reverse="1">
        <cfvo type="percent" val="0"/>
        <cfvo type="percent" val="33"/>
        <cfvo type="percent" val="67"/>
      </iconSet>
    </cfRule>
  </conditionalFormatting>
  <conditionalFormatting sqref="H2:H42">
    <cfRule type="top10" dxfId="3" priority="8" rank="10"/>
    <cfRule type="iconSet" priority="9">
      <iconSet iconSet="3Symbols2" reverse="1">
        <cfvo type="percent" val="0"/>
        <cfvo type="percent" val="33"/>
        <cfvo type="percent" val="67"/>
      </iconSet>
    </cfRule>
    <cfRule type="top10" dxfId="2" priority="10" bottom="1" rank="5"/>
  </conditionalFormatting>
  <conditionalFormatting sqref="P2:P42">
    <cfRule type="aboveAverage" dxfId="1" priority="11" aboveAverage="0"/>
    <cfRule type="aboveAverage" dxfId="0" priority="12"/>
  </conditionalFormatting>
  <dataValidations count="4">
    <dataValidation type="decimal" showInputMessage="1" showErrorMessage="1" promptTitle="Travel Cost" prompt="Enter the cost only" sqref="I2:I43 O2:O42" xr:uid="{5FE36B75-4325-4FDB-B05B-5EF92B29F018}">
      <formula1>0</formula1>
      <formula2>9999</formula2>
    </dataValidation>
    <dataValidation showErrorMessage="1" promptTitle="Travel Cost" prompt="Enter the cost only" sqref="J3:J43 J1 K13:L13 P2:P42" xr:uid="{4FE3131B-FA18-4690-90CF-8763285617F3}"/>
    <dataValidation type="list" showInputMessage="1" showErrorMessage="1" sqref="C2:C43 A2:A43" xr:uid="{84269EAE-0496-479E-849B-0B46DC863567}">
      <formula1>"Caloocan,  Las Piñas,  Makati,  Malabon,  Mandaluyong,  Manila,  Marikina,  Muntinlupa,  Navotas,  Parañaque,  Pasay,  Pasig,  Pateros,  Quezon City,  San Juan,  Taguig,  Valenzuela, Others"</formula1>
    </dataValidation>
    <dataValidation showInputMessage="1" showErrorMessage="1" sqref="B1:B43 D1:D43" xr:uid="{F44A125E-822A-43E0-825A-31E5A1342E39}"/>
  </dataValidation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7E57B-00C6-4BE3-8AF5-DF546F44EA31}">
  <dimension ref="A1:K17"/>
  <sheetViews>
    <sheetView workbookViewId="0">
      <selection activeCell="E12" sqref="E12"/>
    </sheetView>
  </sheetViews>
  <sheetFormatPr defaultRowHeight="15" x14ac:dyDescent="0.25"/>
  <sheetData>
    <row r="1" spans="1:11" x14ac:dyDescent="0.25">
      <c r="A1" t="s">
        <v>30</v>
      </c>
      <c r="C1" t="str">
        <f>LEFT(A1, LEN(A1)-2)</f>
        <v>Caloocan</v>
      </c>
      <c r="D1" t="s">
        <v>51</v>
      </c>
      <c r="F1" t="s">
        <v>51</v>
      </c>
      <c r="G1" t="s">
        <v>72</v>
      </c>
      <c r="H1" t="s">
        <v>72</v>
      </c>
      <c r="I1" t="s">
        <v>51</v>
      </c>
      <c r="J1" t="s">
        <v>52</v>
      </c>
      <c r="K1" t="s">
        <v>51</v>
      </c>
    </row>
    <row r="2" spans="1:11" x14ac:dyDescent="0.25">
      <c r="A2" t="s">
        <v>44</v>
      </c>
      <c r="C2" t="str">
        <f>LEFT(A2, LEN(A2)-2)</f>
        <v>Las Piñas</v>
      </c>
      <c r="D2" t="s">
        <v>72</v>
      </c>
      <c r="G2" t="s">
        <v>52</v>
      </c>
      <c r="I2" t="s">
        <v>52</v>
      </c>
      <c r="K2" t="s">
        <v>72</v>
      </c>
    </row>
    <row r="3" spans="1:11" x14ac:dyDescent="0.25">
      <c r="A3" t="s">
        <v>38</v>
      </c>
      <c r="C3" t="str">
        <f t="shared" ref="C3:C17" si="0">LEFT(A3, LEN(A3)-2)</f>
        <v>Makati</v>
      </c>
      <c r="D3" t="s">
        <v>52</v>
      </c>
      <c r="G3" t="s">
        <v>118</v>
      </c>
      <c r="I3" t="s">
        <v>118</v>
      </c>
      <c r="K3" t="s">
        <v>118</v>
      </c>
    </row>
    <row r="4" spans="1:11" x14ac:dyDescent="0.25">
      <c r="A4" t="s">
        <v>31</v>
      </c>
      <c r="C4" t="str">
        <f t="shared" si="0"/>
        <v>Malabon</v>
      </c>
      <c r="D4" t="s">
        <v>118</v>
      </c>
      <c r="G4" t="s">
        <v>60</v>
      </c>
      <c r="I4" t="s">
        <v>60</v>
      </c>
      <c r="K4" t="s">
        <v>60</v>
      </c>
    </row>
    <row r="5" spans="1:11" x14ac:dyDescent="0.25">
      <c r="A5" t="s">
        <v>40</v>
      </c>
      <c r="C5" t="str">
        <f t="shared" si="0"/>
        <v>Mandaluyong</v>
      </c>
      <c r="D5" t="s">
        <v>60</v>
      </c>
      <c r="G5" t="s">
        <v>59</v>
      </c>
      <c r="I5" t="s">
        <v>59</v>
      </c>
      <c r="K5" t="s">
        <v>59</v>
      </c>
    </row>
    <row r="6" spans="1:11" x14ac:dyDescent="0.25">
      <c r="A6" t="s">
        <v>39</v>
      </c>
      <c r="C6" t="str">
        <f t="shared" si="0"/>
        <v>Manila</v>
      </c>
      <c r="D6" t="s">
        <v>59</v>
      </c>
      <c r="G6" t="s">
        <v>70</v>
      </c>
      <c r="I6" t="s">
        <v>70</v>
      </c>
      <c r="K6" t="s">
        <v>70</v>
      </c>
    </row>
    <row r="7" spans="1:11" x14ac:dyDescent="0.25">
      <c r="A7" t="s">
        <v>35</v>
      </c>
      <c r="C7" t="str">
        <f t="shared" si="0"/>
        <v>Marikina</v>
      </c>
      <c r="D7" t="s">
        <v>70</v>
      </c>
      <c r="G7" t="s">
        <v>61</v>
      </c>
      <c r="I7" t="s">
        <v>61</v>
      </c>
      <c r="K7" t="s">
        <v>61</v>
      </c>
    </row>
    <row r="8" spans="1:11" x14ac:dyDescent="0.25">
      <c r="A8" t="s">
        <v>45</v>
      </c>
      <c r="C8" t="str">
        <f t="shared" si="0"/>
        <v>Muntinlupa</v>
      </c>
      <c r="D8" t="s">
        <v>61</v>
      </c>
      <c r="G8" t="s">
        <v>119</v>
      </c>
      <c r="I8" t="s">
        <v>119</v>
      </c>
      <c r="K8" t="s">
        <v>119</v>
      </c>
    </row>
    <row r="9" spans="1:11" x14ac:dyDescent="0.25">
      <c r="A9" t="s">
        <v>32</v>
      </c>
      <c r="C9" t="str">
        <f t="shared" si="0"/>
        <v>Navotas</v>
      </c>
      <c r="D9" t="s">
        <v>119</v>
      </c>
      <c r="G9" t="s">
        <v>73</v>
      </c>
      <c r="I9" t="s">
        <v>73</v>
      </c>
      <c r="K9" t="s">
        <v>73</v>
      </c>
    </row>
    <row r="10" spans="1:11" x14ac:dyDescent="0.25">
      <c r="A10" t="s">
        <v>43</v>
      </c>
      <c r="C10" t="str">
        <f t="shared" si="0"/>
        <v>Parañaque</v>
      </c>
      <c r="D10" t="s">
        <v>73</v>
      </c>
      <c r="G10" t="s">
        <v>65</v>
      </c>
      <c r="I10" t="s">
        <v>65</v>
      </c>
      <c r="K10" t="s">
        <v>65</v>
      </c>
    </row>
    <row r="11" spans="1:11" x14ac:dyDescent="0.25">
      <c r="A11" t="s">
        <v>42</v>
      </c>
      <c r="C11" t="str">
        <f t="shared" si="0"/>
        <v>Pasay</v>
      </c>
      <c r="D11" t="s">
        <v>65</v>
      </c>
      <c r="G11" t="s">
        <v>63</v>
      </c>
      <c r="I11" t="s">
        <v>63</v>
      </c>
      <c r="K11" t="s">
        <v>63</v>
      </c>
    </row>
    <row r="12" spans="1:11" x14ac:dyDescent="0.25">
      <c r="A12" t="s">
        <v>36</v>
      </c>
      <c r="C12" t="str">
        <f t="shared" si="0"/>
        <v>Pasig</v>
      </c>
      <c r="D12" t="s">
        <v>63</v>
      </c>
      <c r="G12" t="s">
        <v>120</v>
      </c>
      <c r="I12" t="s">
        <v>120</v>
      </c>
      <c r="K12" t="s">
        <v>120</v>
      </c>
    </row>
    <row r="13" spans="1:11" x14ac:dyDescent="0.25">
      <c r="A13" t="s">
        <v>46</v>
      </c>
      <c r="C13" t="str">
        <f t="shared" si="0"/>
        <v>Pateros</v>
      </c>
      <c r="D13" t="s">
        <v>120</v>
      </c>
      <c r="G13" t="s">
        <v>62</v>
      </c>
      <c r="I13" t="s">
        <v>62</v>
      </c>
      <c r="K13" t="s">
        <v>62</v>
      </c>
    </row>
    <row r="14" spans="1:11" x14ac:dyDescent="0.25">
      <c r="A14" t="s">
        <v>34</v>
      </c>
      <c r="C14" t="str">
        <f t="shared" si="0"/>
        <v>Quezon City</v>
      </c>
      <c r="D14" t="s">
        <v>62</v>
      </c>
      <c r="G14" t="s">
        <v>121</v>
      </c>
      <c r="I14" t="s">
        <v>121</v>
      </c>
      <c r="K14" t="s">
        <v>121</v>
      </c>
    </row>
    <row r="15" spans="1:11" x14ac:dyDescent="0.25">
      <c r="A15" t="s">
        <v>41</v>
      </c>
      <c r="C15" t="str">
        <f t="shared" si="0"/>
        <v>San Juan</v>
      </c>
      <c r="D15" t="s">
        <v>121</v>
      </c>
      <c r="G15" t="s">
        <v>54</v>
      </c>
      <c r="I15" t="s">
        <v>54</v>
      </c>
      <c r="K15" t="s">
        <v>54</v>
      </c>
    </row>
    <row r="16" spans="1:11" x14ac:dyDescent="0.25">
      <c r="A16" t="s">
        <v>37</v>
      </c>
      <c r="C16" t="str">
        <f t="shared" si="0"/>
        <v>Taguig</v>
      </c>
      <c r="D16" t="s">
        <v>54</v>
      </c>
      <c r="G16" t="s">
        <v>122</v>
      </c>
      <c r="I16" t="s">
        <v>122</v>
      </c>
      <c r="K16" t="s">
        <v>122</v>
      </c>
    </row>
    <row r="17" spans="1:4" x14ac:dyDescent="0.25">
      <c r="A17" t="s">
        <v>33</v>
      </c>
      <c r="C17" t="str">
        <f t="shared" si="0"/>
        <v>Valenzuela</v>
      </c>
      <c r="D17" t="s">
        <v>122</v>
      </c>
    </row>
  </sheetData>
  <sortState xmlns:xlrd2="http://schemas.microsoft.com/office/spreadsheetml/2017/richdata2" ref="A1:A16">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week - 1</vt:lpstr>
      <vt:lpstr>Week - 2</vt:lpstr>
      <vt:lpstr>Week - 3</vt:lpstr>
      <vt:lpstr>Week - 4</vt:lpstr>
      <vt:lpstr>Week - 5</vt:lpstr>
      <vt:lpstr>CHART</vt:lpstr>
      <vt:lpstr>CHART-sample</vt:lpstr>
      <vt:lpstr>CHART-hidden</vt:lpstr>
      <vt:lpstr>Sheet1</vt:lpstr>
      <vt:lpstr>sum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Kent Pastoril</dc:creator>
  <cp:lastModifiedBy>Kent Pastoril</cp:lastModifiedBy>
  <dcterms:created xsi:type="dcterms:W3CDTF">2020-04-25T12:02:44Z</dcterms:created>
  <dcterms:modified xsi:type="dcterms:W3CDTF">2021-02-22T16:20:26Z</dcterms:modified>
</cp:coreProperties>
</file>